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rocha\Dropbox\SIARMA\"/>
    </mc:Choice>
  </mc:AlternateContent>
  <workbookProtection workbookAlgorithmName="SHA-512" workbookHashValue="NDrxi56zK1OkC47Nkr9eLFsTNx/QU/LPO8JusxOU8eQ9XWXgrWuDfz9ST8/b2837+pPpPkFW3p4PNgF/7xo95g==" workbookSaltValue="/pUtBo3mMxv1Y1rwnl7llQ==" workbookSpinCount="100000" lockStructure="1"/>
  <bookViews>
    <workbookView xWindow="0" yWindow="0" windowWidth="24000" windowHeight="9735" activeTab="1"/>
  </bookViews>
  <sheets>
    <sheet name="Apresentação" sheetId="5" r:id="rId1"/>
    <sheet name="SIMULADOR" sheetId="4" r:id="rId2"/>
    <sheet name="Base" sheetId="1" state="hidden" r:id="rId3"/>
    <sheet name="Plan1" sheetId="6" state="hidden" r:id="rId4"/>
    <sheet name="SIARMA" sheetId="3" state="hidden" r:id="rId5"/>
    <sheet name="Taxa de Juros (Ano)" sheetId="2" state="hidden" r:id="rId6"/>
  </sheets>
  <definedNames>
    <definedName name="_xlnm._FilterDatabase" localSheetId="2" hidden="1">Base!$A$4:$S$127</definedName>
    <definedName name="SegmentaçãodeDados_Ano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4" i="1" l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C14" i="2"/>
  <c r="C136" i="1"/>
  <c r="G136" i="1"/>
  <c r="C135" i="1"/>
  <c r="G135" i="1"/>
  <c r="C134" i="1"/>
  <c r="G134" i="1"/>
  <c r="C133" i="1"/>
  <c r="G133" i="1"/>
  <c r="C13" i="2" l="1"/>
  <c r="H127" i="1" s="1"/>
  <c r="C125" i="1"/>
  <c r="C126" i="1"/>
  <c r="C127" i="1"/>
  <c r="C128" i="1"/>
  <c r="C129" i="1"/>
  <c r="C130" i="1"/>
  <c r="C131" i="1"/>
  <c r="C132" i="1"/>
  <c r="G125" i="1"/>
  <c r="G126" i="1"/>
  <c r="G127" i="1"/>
  <c r="G128" i="1"/>
  <c r="G129" i="1"/>
  <c r="G130" i="1"/>
  <c r="G131" i="1"/>
  <c r="G132" i="1"/>
  <c r="H125" i="1"/>
  <c r="H126" i="1"/>
  <c r="H128" i="1"/>
  <c r="H129" i="1"/>
  <c r="H130" i="1"/>
  <c r="H132" i="1"/>
  <c r="H131" i="1" l="1"/>
  <c r="H133" i="1"/>
  <c r="H134" i="1"/>
  <c r="H135" i="1"/>
  <c r="H136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5" i="1"/>
  <c r="A8" i="4" l="1"/>
  <c r="B1" i="1" s="1"/>
  <c r="I136" i="1" l="1"/>
  <c r="M134" i="1"/>
  <c r="Q134" i="1" s="1"/>
  <c r="M136" i="1"/>
  <c r="Q136" i="1" s="1"/>
  <c r="I133" i="1"/>
  <c r="I135" i="1"/>
  <c r="M133" i="1"/>
  <c r="Q133" i="1" s="1"/>
  <c r="M135" i="1"/>
  <c r="Q135" i="1" s="1"/>
  <c r="I134" i="1"/>
  <c r="I125" i="1"/>
  <c r="I129" i="1"/>
  <c r="M128" i="1"/>
  <c r="Q128" i="1" s="1"/>
  <c r="M132" i="1"/>
  <c r="Q132" i="1" s="1"/>
  <c r="I128" i="1"/>
  <c r="I132" i="1"/>
  <c r="M131" i="1"/>
  <c r="Q131" i="1" s="1"/>
  <c r="I126" i="1"/>
  <c r="I130" i="1"/>
  <c r="M125" i="1"/>
  <c r="Q125" i="1" s="1"/>
  <c r="M129" i="1"/>
  <c r="Q129" i="1" s="1"/>
  <c r="I127" i="1"/>
  <c r="I131" i="1"/>
  <c r="M126" i="1"/>
  <c r="Q126" i="1" s="1"/>
  <c r="M130" i="1"/>
  <c r="Q130" i="1" s="1"/>
  <c r="M127" i="1"/>
  <c r="Q127" i="1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Q104" i="1" s="1"/>
  <c r="M105" i="1"/>
  <c r="Q105" i="1" s="1"/>
  <c r="M106" i="1"/>
  <c r="Q106" i="1" s="1"/>
  <c r="M107" i="1"/>
  <c r="Q107" i="1" s="1"/>
  <c r="M108" i="1"/>
  <c r="Q108" i="1" s="1"/>
  <c r="M109" i="1"/>
  <c r="Q109" i="1" s="1"/>
  <c r="M110" i="1"/>
  <c r="Q110" i="1" s="1"/>
  <c r="M111" i="1"/>
  <c r="Q111" i="1" s="1"/>
  <c r="M112" i="1"/>
  <c r="Q112" i="1" s="1"/>
  <c r="M113" i="1"/>
  <c r="Q113" i="1" s="1"/>
  <c r="M114" i="1"/>
  <c r="Q114" i="1" s="1"/>
  <c r="M115" i="1"/>
  <c r="Q115" i="1" s="1"/>
  <c r="M116" i="1"/>
  <c r="Q116" i="1" s="1"/>
  <c r="M117" i="1"/>
  <c r="Q117" i="1" s="1"/>
  <c r="M118" i="1"/>
  <c r="Q118" i="1" s="1"/>
  <c r="M119" i="1"/>
  <c r="Q119" i="1" s="1"/>
  <c r="M120" i="1"/>
  <c r="Q120" i="1" s="1"/>
  <c r="M121" i="1"/>
  <c r="Q121" i="1" s="1"/>
  <c r="M122" i="1"/>
  <c r="Q122" i="1" s="1"/>
  <c r="M123" i="1"/>
  <c r="Q123" i="1" s="1"/>
  <c r="M124" i="1"/>
  <c r="Q124" i="1" s="1"/>
  <c r="M5" i="1"/>
  <c r="N135" i="1" l="1"/>
  <c r="N136" i="1"/>
  <c r="N133" i="1"/>
  <c r="N134" i="1"/>
  <c r="N130" i="1"/>
  <c r="N132" i="1"/>
  <c r="N126" i="1"/>
  <c r="N129" i="1"/>
  <c r="N131" i="1"/>
  <c r="N128" i="1"/>
  <c r="N127" i="1"/>
  <c r="N125" i="1"/>
  <c r="C3" i="2"/>
  <c r="C4" i="2"/>
  <c r="C5" i="2"/>
  <c r="C6" i="2"/>
  <c r="C7" i="2"/>
  <c r="C8" i="2"/>
  <c r="C9" i="2"/>
  <c r="C10" i="2"/>
  <c r="C11" i="2"/>
  <c r="C12" i="2"/>
  <c r="C2" i="2"/>
  <c r="Q5" i="1" l="1"/>
  <c r="Q17" i="1"/>
  <c r="Q29" i="1"/>
  <c r="Q41" i="1"/>
  <c r="Q53" i="1"/>
  <c r="Q65" i="1"/>
  <c r="Q77" i="1"/>
  <c r="Q89" i="1"/>
  <c r="Q101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2" i="3"/>
  <c r="N17" i="1"/>
  <c r="N29" i="1"/>
  <c r="N41" i="1"/>
  <c r="N53" i="1"/>
  <c r="N65" i="1"/>
  <c r="N77" i="1"/>
  <c r="N89" i="1"/>
  <c r="N101" i="1"/>
  <c r="N113" i="1"/>
  <c r="N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5" i="1"/>
  <c r="X121" i="1" l="1"/>
  <c r="Y121" i="1" s="1"/>
  <c r="X113" i="1"/>
  <c r="Y113" i="1" s="1"/>
  <c r="X124" i="1"/>
  <c r="Y124" i="1" s="1"/>
  <c r="X120" i="1"/>
  <c r="Y120" i="1" s="1"/>
  <c r="X116" i="1"/>
  <c r="Y116" i="1" s="1"/>
  <c r="X112" i="1"/>
  <c r="Y112" i="1" s="1"/>
  <c r="X108" i="1"/>
  <c r="Y108" i="1" s="1"/>
  <c r="X104" i="1"/>
  <c r="Y104" i="1" s="1"/>
  <c r="X109" i="1"/>
  <c r="Y109" i="1" s="1"/>
  <c r="X123" i="1"/>
  <c r="X119" i="1"/>
  <c r="X115" i="1"/>
  <c r="X111" i="1"/>
  <c r="X107" i="1"/>
  <c r="X103" i="1"/>
  <c r="Y103" i="1" s="1"/>
  <c r="X129" i="1"/>
  <c r="Y129" i="1" s="1"/>
  <c r="X131" i="1"/>
  <c r="Y131" i="1" s="1"/>
  <c r="X126" i="1"/>
  <c r="Y126" i="1" s="1"/>
  <c r="X135" i="1"/>
  <c r="Y135" i="1" s="1"/>
  <c r="X136" i="1"/>
  <c r="Y136" i="1" s="1"/>
  <c r="X127" i="1"/>
  <c r="X130" i="1"/>
  <c r="Y130" i="1" s="1"/>
  <c r="X132" i="1"/>
  <c r="Y132" i="1" s="1"/>
  <c r="X125" i="1"/>
  <c r="Y125" i="1" s="1"/>
  <c r="X133" i="1"/>
  <c r="Y133" i="1" s="1"/>
  <c r="X134" i="1"/>
  <c r="Y134" i="1" s="1"/>
  <c r="X128" i="1"/>
  <c r="Y128" i="1" s="1"/>
  <c r="X117" i="1"/>
  <c r="Y117" i="1" s="1"/>
  <c r="X105" i="1"/>
  <c r="Y105" i="1" s="1"/>
  <c r="X122" i="1"/>
  <c r="Y122" i="1" s="1"/>
  <c r="X118" i="1"/>
  <c r="Y118" i="1" s="1"/>
  <c r="X114" i="1"/>
  <c r="Y114" i="1" s="1"/>
  <c r="X110" i="1"/>
  <c r="Y110" i="1" s="1"/>
  <c r="X106" i="1"/>
  <c r="Y106" i="1" s="1"/>
  <c r="J121" i="1"/>
  <c r="Z121" i="1" s="1"/>
  <c r="J124" i="1"/>
  <c r="Z124" i="1" s="1"/>
  <c r="J120" i="1"/>
  <c r="Z120" i="1" s="1"/>
  <c r="J116" i="1"/>
  <c r="Z116" i="1" s="1"/>
  <c r="J128" i="1"/>
  <c r="Z128" i="1" s="1"/>
  <c r="J130" i="1"/>
  <c r="Z130" i="1" s="1"/>
  <c r="J134" i="1"/>
  <c r="Z134" i="1" s="1"/>
  <c r="J126" i="1"/>
  <c r="Z126" i="1" s="1"/>
  <c r="J131" i="1"/>
  <c r="Z131" i="1" s="1"/>
  <c r="J132" i="1"/>
  <c r="Z132" i="1" s="1"/>
  <c r="J136" i="1"/>
  <c r="Z136" i="1" s="1"/>
  <c r="J135" i="1"/>
  <c r="Z135" i="1" s="1"/>
  <c r="J125" i="1"/>
  <c r="Z125" i="1" s="1"/>
  <c r="J129" i="1"/>
  <c r="Z129" i="1" s="1"/>
  <c r="J133" i="1"/>
  <c r="Z133" i="1" s="1"/>
  <c r="J127" i="1"/>
  <c r="Z127" i="1" s="1"/>
  <c r="J113" i="1"/>
  <c r="Z113" i="1" s="1"/>
  <c r="J123" i="1"/>
  <c r="Z123" i="1" s="1"/>
  <c r="J119" i="1"/>
  <c r="Z119" i="1" s="1"/>
  <c r="J115" i="1"/>
  <c r="Z115" i="1" s="1"/>
  <c r="J117" i="1"/>
  <c r="Z117" i="1" s="1"/>
  <c r="J122" i="1"/>
  <c r="Z122" i="1" s="1"/>
  <c r="J118" i="1"/>
  <c r="Z118" i="1" s="1"/>
  <c r="J114" i="1"/>
  <c r="Z114" i="1" s="1"/>
  <c r="J5" i="1"/>
  <c r="Z5" i="1" s="1"/>
  <c r="X93" i="1"/>
  <c r="Y93" i="1" s="1"/>
  <c r="X81" i="1"/>
  <c r="Y81" i="1" s="1"/>
  <c r="X73" i="1"/>
  <c r="Y73" i="1" s="1"/>
  <c r="X61" i="1"/>
  <c r="Y61" i="1" s="1"/>
  <c r="X49" i="1"/>
  <c r="Y49" i="1" s="1"/>
  <c r="X37" i="1"/>
  <c r="Y37" i="1" s="1"/>
  <c r="X25" i="1"/>
  <c r="Y25" i="1" s="1"/>
  <c r="X21" i="1"/>
  <c r="Y21" i="1" s="1"/>
  <c r="X9" i="1"/>
  <c r="Y9" i="1" s="1"/>
  <c r="X100" i="1"/>
  <c r="Y100" i="1" s="1"/>
  <c r="X96" i="1"/>
  <c r="Y96" i="1" s="1"/>
  <c r="X92" i="1"/>
  <c r="Y92" i="1" s="1"/>
  <c r="X88" i="1"/>
  <c r="Y88" i="1" s="1"/>
  <c r="X84" i="1"/>
  <c r="Y84" i="1" s="1"/>
  <c r="X80" i="1"/>
  <c r="Y80" i="1" s="1"/>
  <c r="X76" i="1"/>
  <c r="Y76" i="1" s="1"/>
  <c r="X72" i="1"/>
  <c r="Y72" i="1" s="1"/>
  <c r="X68" i="1"/>
  <c r="Y68" i="1" s="1"/>
  <c r="X64" i="1"/>
  <c r="Y64" i="1" s="1"/>
  <c r="X60" i="1"/>
  <c r="Y60" i="1" s="1"/>
  <c r="X56" i="1"/>
  <c r="Y56" i="1" s="1"/>
  <c r="X52" i="1"/>
  <c r="Y52" i="1" s="1"/>
  <c r="X48" i="1"/>
  <c r="Y48" i="1" s="1"/>
  <c r="X44" i="1"/>
  <c r="Y44" i="1" s="1"/>
  <c r="X40" i="1"/>
  <c r="Y40" i="1" s="1"/>
  <c r="X36" i="1"/>
  <c r="Y36" i="1" s="1"/>
  <c r="X32" i="1"/>
  <c r="Y32" i="1" s="1"/>
  <c r="X28" i="1"/>
  <c r="Y28" i="1" s="1"/>
  <c r="X24" i="1"/>
  <c r="Y24" i="1" s="1"/>
  <c r="X20" i="1"/>
  <c r="Y20" i="1" s="1"/>
  <c r="X16" i="1"/>
  <c r="Y16" i="1" s="1"/>
  <c r="X12" i="1"/>
  <c r="Y12" i="1" s="1"/>
  <c r="X8" i="1"/>
  <c r="Y8" i="1" s="1"/>
  <c r="X97" i="1"/>
  <c r="Y97" i="1" s="1"/>
  <c r="X85" i="1"/>
  <c r="Y85" i="1" s="1"/>
  <c r="X69" i="1"/>
  <c r="Y69" i="1" s="1"/>
  <c r="X57" i="1"/>
  <c r="Y57" i="1" s="1"/>
  <c r="X45" i="1"/>
  <c r="Y45" i="1" s="1"/>
  <c r="X33" i="1"/>
  <c r="Y33" i="1" s="1"/>
  <c r="X17" i="1"/>
  <c r="Y17" i="1" s="1"/>
  <c r="X99" i="1"/>
  <c r="Y99" i="1" s="1"/>
  <c r="X95" i="1"/>
  <c r="Y95" i="1" s="1"/>
  <c r="X91" i="1"/>
  <c r="Y91" i="1" s="1"/>
  <c r="X87" i="1"/>
  <c r="Y87" i="1" s="1"/>
  <c r="X83" i="1"/>
  <c r="Y83" i="1" s="1"/>
  <c r="X79" i="1"/>
  <c r="Y79" i="1" s="1"/>
  <c r="X75" i="1"/>
  <c r="Y75" i="1" s="1"/>
  <c r="X71" i="1"/>
  <c r="Y71" i="1" s="1"/>
  <c r="X67" i="1"/>
  <c r="Y67" i="1" s="1"/>
  <c r="X63" i="1"/>
  <c r="Y63" i="1" s="1"/>
  <c r="X59" i="1"/>
  <c r="Y59" i="1" s="1"/>
  <c r="X55" i="1"/>
  <c r="Y55" i="1" s="1"/>
  <c r="X51" i="1"/>
  <c r="Y51" i="1" s="1"/>
  <c r="X47" i="1"/>
  <c r="Y47" i="1" s="1"/>
  <c r="X43" i="1"/>
  <c r="Y43" i="1" s="1"/>
  <c r="X39" i="1"/>
  <c r="Y39" i="1" s="1"/>
  <c r="X35" i="1"/>
  <c r="Y35" i="1" s="1"/>
  <c r="X31" i="1"/>
  <c r="Y31" i="1" s="1"/>
  <c r="X27" i="1"/>
  <c r="Y27" i="1" s="1"/>
  <c r="X23" i="1"/>
  <c r="Y23" i="1" s="1"/>
  <c r="X19" i="1"/>
  <c r="Y19" i="1" s="1"/>
  <c r="X15" i="1"/>
  <c r="Y15" i="1" s="1"/>
  <c r="X11" i="1"/>
  <c r="Y11" i="1" s="1"/>
  <c r="X7" i="1"/>
  <c r="Y7" i="1" s="1"/>
  <c r="X5" i="1"/>
  <c r="Y5" i="1" s="1"/>
  <c r="X101" i="1"/>
  <c r="Y101" i="1" s="1"/>
  <c r="X89" i="1"/>
  <c r="Y89" i="1" s="1"/>
  <c r="X77" i="1"/>
  <c r="Y77" i="1" s="1"/>
  <c r="X65" i="1"/>
  <c r="Y65" i="1" s="1"/>
  <c r="X53" i="1"/>
  <c r="Y53" i="1" s="1"/>
  <c r="X41" i="1"/>
  <c r="Y41" i="1" s="1"/>
  <c r="X29" i="1"/>
  <c r="Y29" i="1" s="1"/>
  <c r="X13" i="1"/>
  <c r="Y13" i="1" s="1"/>
  <c r="X102" i="1"/>
  <c r="Y102" i="1" s="1"/>
  <c r="X98" i="1"/>
  <c r="Y98" i="1" s="1"/>
  <c r="X94" i="1"/>
  <c r="Y94" i="1" s="1"/>
  <c r="X90" i="1"/>
  <c r="Y90" i="1" s="1"/>
  <c r="X86" i="1"/>
  <c r="Y86" i="1" s="1"/>
  <c r="X82" i="1"/>
  <c r="Y82" i="1" s="1"/>
  <c r="X78" i="1"/>
  <c r="Y78" i="1" s="1"/>
  <c r="X74" i="1"/>
  <c r="Y74" i="1" s="1"/>
  <c r="X70" i="1"/>
  <c r="Y70" i="1" s="1"/>
  <c r="X66" i="1"/>
  <c r="Y66" i="1" s="1"/>
  <c r="X62" i="1"/>
  <c r="Y62" i="1" s="1"/>
  <c r="X58" i="1"/>
  <c r="Y58" i="1" s="1"/>
  <c r="X54" i="1"/>
  <c r="Y54" i="1" s="1"/>
  <c r="X50" i="1"/>
  <c r="Y50" i="1" s="1"/>
  <c r="X46" i="1"/>
  <c r="Y46" i="1" s="1"/>
  <c r="X42" i="1"/>
  <c r="Y42" i="1" s="1"/>
  <c r="X38" i="1"/>
  <c r="Y38" i="1" s="1"/>
  <c r="X34" i="1"/>
  <c r="Y34" i="1" s="1"/>
  <c r="X30" i="1"/>
  <c r="Y30" i="1" s="1"/>
  <c r="X26" i="1"/>
  <c r="Y26" i="1" s="1"/>
  <c r="X22" i="1"/>
  <c r="Y22" i="1" s="1"/>
  <c r="X18" i="1"/>
  <c r="Y18" i="1" s="1"/>
  <c r="X14" i="1"/>
  <c r="Y14" i="1" s="1"/>
  <c r="X10" i="1"/>
  <c r="Y10" i="1" s="1"/>
  <c r="X6" i="1"/>
  <c r="Y6" i="1" s="1"/>
  <c r="N112" i="1"/>
  <c r="N104" i="1"/>
  <c r="Q91" i="1"/>
  <c r="N91" i="1"/>
  <c r="Q78" i="1"/>
  <c r="N78" i="1"/>
  <c r="Q64" i="1"/>
  <c r="N64" i="1"/>
  <c r="Q51" i="1"/>
  <c r="N51" i="1"/>
  <c r="Q38" i="1"/>
  <c r="N38" i="1"/>
  <c r="Q30" i="1"/>
  <c r="N30" i="1"/>
  <c r="Q15" i="1"/>
  <c r="N15" i="1"/>
  <c r="N122" i="1"/>
  <c r="N118" i="1"/>
  <c r="N114" i="1"/>
  <c r="N109" i="1"/>
  <c r="N105" i="1"/>
  <c r="Q100" i="1"/>
  <c r="N100" i="1"/>
  <c r="Q96" i="1"/>
  <c r="N96" i="1"/>
  <c r="Q92" i="1"/>
  <c r="N92" i="1"/>
  <c r="Q87" i="1"/>
  <c r="N87" i="1"/>
  <c r="Q83" i="1"/>
  <c r="N83" i="1"/>
  <c r="Q79" i="1"/>
  <c r="N79" i="1"/>
  <c r="Q74" i="1"/>
  <c r="N74" i="1"/>
  <c r="Q70" i="1"/>
  <c r="N70" i="1"/>
  <c r="Q66" i="1"/>
  <c r="N66" i="1"/>
  <c r="N61" i="1"/>
  <c r="Q61" i="1"/>
  <c r="Q57" i="1"/>
  <c r="N57" i="1"/>
  <c r="Q52" i="1"/>
  <c r="N52" i="1"/>
  <c r="Q48" i="1"/>
  <c r="N48" i="1"/>
  <c r="N44" i="1"/>
  <c r="Q44" i="1"/>
  <c r="Q39" i="1"/>
  <c r="N39" i="1"/>
  <c r="Q35" i="1"/>
  <c r="N35" i="1"/>
  <c r="Q31" i="1"/>
  <c r="N31" i="1"/>
  <c r="Q26" i="1"/>
  <c r="N26" i="1"/>
  <c r="Q21" i="1"/>
  <c r="N21" i="1"/>
  <c r="Q16" i="1"/>
  <c r="N16" i="1"/>
  <c r="N12" i="1"/>
  <c r="Q12" i="1"/>
  <c r="Q8" i="1"/>
  <c r="N8" i="1"/>
  <c r="N121" i="1"/>
  <c r="N108" i="1"/>
  <c r="Q95" i="1"/>
  <c r="N95" i="1"/>
  <c r="Q82" i="1"/>
  <c r="N82" i="1"/>
  <c r="Q69" i="1"/>
  <c r="N69" i="1"/>
  <c r="Q56" i="1"/>
  <c r="N56" i="1"/>
  <c r="Q43" i="1"/>
  <c r="N43" i="1"/>
  <c r="N25" i="1"/>
  <c r="Q25" i="1"/>
  <c r="Q11" i="1"/>
  <c r="N11" i="1"/>
  <c r="N124" i="1"/>
  <c r="N120" i="1"/>
  <c r="N116" i="1"/>
  <c r="N111" i="1"/>
  <c r="N107" i="1"/>
  <c r="Q103" i="1"/>
  <c r="N103" i="1"/>
  <c r="Q98" i="1"/>
  <c r="N98" i="1"/>
  <c r="Q94" i="1"/>
  <c r="N94" i="1"/>
  <c r="Q90" i="1"/>
  <c r="N90" i="1"/>
  <c r="Q85" i="1"/>
  <c r="N85" i="1"/>
  <c r="N81" i="1"/>
  <c r="Q81" i="1"/>
  <c r="Q76" i="1"/>
  <c r="N76" i="1"/>
  <c r="Q72" i="1"/>
  <c r="N72" i="1"/>
  <c r="Q68" i="1"/>
  <c r="N68" i="1"/>
  <c r="Q63" i="1"/>
  <c r="N63" i="1"/>
  <c r="Q59" i="1"/>
  <c r="N59" i="1"/>
  <c r="Q55" i="1"/>
  <c r="N55" i="1"/>
  <c r="Q50" i="1"/>
  <c r="N50" i="1"/>
  <c r="Q46" i="1"/>
  <c r="N46" i="1"/>
  <c r="Q42" i="1"/>
  <c r="N42" i="1"/>
  <c r="Q37" i="1"/>
  <c r="N37" i="1"/>
  <c r="N33" i="1"/>
  <c r="Q33" i="1"/>
  <c r="N28" i="1"/>
  <c r="Q28" i="1"/>
  <c r="Q24" i="1"/>
  <c r="N24" i="1"/>
  <c r="Q19" i="1"/>
  <c r="N19" i="1"/>
  <c r="Q14" i="1"/>
  <c r="N14" i="1"/>
  <c r="Q10" i="1"/>
  <c r="N10" i="1"/>
  <c r="N6" i="1"/>
  <c r="Q6" i="1"/>
  <c r="N117" i="1"/>
  <c r="Q99" i="1"/>
  <c r="N99" i="1"/>
  <c r="Q86" i="1"/>
  <c r="N86" i="1"/>
  <c r="Q73" i="1"/>
  <c r="N73" i="1"/>
  <c r="N60" i="1"/>
  <c r="Q60" i="1"/>
  <c r="Q47" i="1"/>
  <c r="N47" i="1"/>
  <c r="Q34" i="1"/>
  <c r="N34" i="1"/>
  <c r="Q20" i="1"/>
  <c r="N20" i="1"/>
  <c r="Q7" i="1"/>
  <c r="N7" i="1"/>
  <c r="N123" i="1"/>
  <c r="N119" i="1"/>
  <c r="N115" i="1"/>
  <c r="N110" i="1"/>
  <c r="N106" i="1"/>
  <c r="Q102" i="1"/>
  <c r="N102" i="1"/>
  <c r="N97" i="1"/>
  <c r="Q97" i="1"/>
  <c r="N93" i="1"/>
  <c r="Q93" i="1"/>
  <c r="Q88" i="1"/>
  <c r="N88" i="1"/>
  <c r="Q84" i="1"/>
  <c r="N84" i="1"/>
  <c r="Q80" i="1"/>
  <c r="N80" i="1"/>
  <c r="Q75" i="1"/>
  <c r="N75" i="1"/>
  <c r="Q71" i="1"/>
  <c r="N71" i="1"/>
  <c r="Q67" i="1"/>
  <c r="N67" i="1"/>
  <c r="Q62" i="1"/>
  <c r="N62" i="1"/>
  <c r="Q58" i="1"/>
  <c r="N58" i="1"/>
  <c r="Q54" i="1"/>
  <c r="N54" i="1"/>
  <c r="N49" i="1"/>
  <c r="Q49" i="1"/>
  <c r="N45" i="1"/>
  <c r="Q45" i="1"/>
  <c r="Q40" i="1"/>
  <c r="N40" i="1"/>
  <c r="Q36" i="1"/>
  <c r="N36" i="1"/>
  <c r="Q32" i="1"/>
  <c r="N32" i="1"/>
  <c r="Q27" i="1"/>
  <c r="N27" i="1"/>
  <c r="Q23" i="1"/>
  <c r="N23" i="1"/>
  <c r="Q18" i="1"/>
  <c r="N18" i="1"/>
  <c r="N13" i="1"/>
  <c r="Q13" i="1"/>
  <c r="Q9" i="1"/>
  <c r="N9" i="1"/>
  <c r="Q22" i="1"/>
  <c r="N22" i="1"/>
  <c r="J109" i="1"/>
  <c r="Z109" i="1" s="1"/>
  <c r="J93" i="1"/>
  <c r="J85" i="1"/>
  <c r="J77" i="1"/>
  <c r="J61" i="1"/>
  <c r="J53" i="1"/>
  <c r="J45" i="1"/>
  <c r="J29" i="1"/>
  <c r="J21" i="1"/>
  <c r="J13" i="1"/>
  <c r="J8" i="1"/>
  <c r="J37" i="1"/>
  <c r="J101" i="1"/>
  <c r="J69" i="1"/>
  <c r="J108" i="1"/>
  <c r="Z108" i="1" s="1"/>
  <c r="J100" i="1"/>
  <c r="J92" i="1"/>
  <c r="J84" i="1"/>
  <c r="J76" i="1"/>
  <c r="J68" i="1"/>
  <c r="J60" i="1"/>
  <c r="J52" i="1"/>
  <c r="J44" i="1"/>
  <c r="J36" i="1"/>
  <c r="J28" i="1"/>
  <c r="J20" i="1"/>
  <c r="J12" i="1"/>
  <c r="J111" i="1"/>
  <c r="Z111" i="1" s="1"/>
  <c r="J107" i="1"/>
  <c r="Z107" i="1" s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105" i="1"/>
  <c r="Z105" i="1" s="1"/>
  <c r="J97" i="1"/>
  <c r="J89" i="1"/>
  <c r="J81" i="1"/>
  <c r="J73" i="1"/>
  <c r="J65" i="1"/>
  <c r="J57" i="1"/>
  <c r="J49" i="1"/>
  <c r="J41" i="1"/>
  <c r="J33" i="1"/>
  <c r="J25" i="1"/>
  <c r="J17" i="1"/>
  <c r="J9" i="1"/>
  <c r="J110" i="1"/>
  <c r="Z110" i="1" s="1"/>
  <c r="J106" i="1"/>
  <c r="Z106" i="1" s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112" i="1"/>
  <c r="Z112" i="1" s="1"/>
  <c r="J104" i="1"/>
  <c r="Z104" i="1" s="1"/>
  <c r="J96" i="1"/>
  <c r="J88" i="1"/>
  <c r="J80" i="1"/>
  <c r="J72" i="1"/>
  <c r="J64" i="1"/>
  <c r="J56" i="1"/>
  <c r="J48" i="1"/>
  <c r="J40" i="1"/>
  <c r="J32" i="1"/>
  <c r="J24" i="1"/>
  <c r="J16" i="1"/>
  <c r="Y127" i="1" l="1"/>
  <c r="Y119" i="1"/>
  <c r="Y115" i="1"/>
  <c r="Y107" i="1"/>
  <c r="Y123" i="1"/>
  <c r="Y111" i="1"/>
  <c r="K133" i="1"/>
  <c r="R133" i="1" s="1"/>
  <c r="S133" i="1" s="1"/>
  <c r="K135" i="1"/>
  <c r="R135" i="1" s="1"/>
  <c r="S135" i="1" s="1"/>
  <c r="K136" i="1"/>
  <c r="R136" i="1" s="1"/>
  <c r="S136" i="1" s="1"/>
  <c r="K134" i="1"/>
  <c r="R134" i="1" s="1"/>
  <c r="S134" i="1" s="1"/>
  <c r="K131" i="1"/>
  <c r="R131" i="1" s="1"/>
  <c r="S131" i="1" s="1"/>
  <c r="K128" i="1"/>
  <c r="R128" i="1" s="1"/>
  <c r="S128" i="1" s="1"/>
  <c r="K127" i="1"/>
  <c r="R127" i="1" s="1"/>
  <c r="S127" i="1" s="1"/>
  <c r="K132" i="1"/>
  <c r="R132" i="1" s="1"/>
  <c r="S132" i="1" s="1"/>
  <c r="K125" i="1"/>
  <c r="R125" i="1" s="1"/>
  <c r="S125" i="1" s="1"/>
  <c r="K126" i="1"/>
  <c r="R126" i="1" s="1"/>
  <c r="S126" i="1" s="1"/>
  <c r="K130" i="1"/>
  <c r="R130" i="1" s="1"/>
  <c r="S130" i="1" s="1"/>
  <c r="K129" i="1"/>
  <c r="R129" i="1" s="1"/>
  <c r="S129" i="1" s="1"/>
  <c r="K112" i="1"/>
  <c r="R112" i="1" s="1"/>
  <c r="S112" i="1" s="1"/>
  <c r="K62" i="1"/>
  <c r="R62" i="1" s="1"/>
  <c r="S62" i="1" s="1"/>
  <c r="Z62" i="1"/>
  <c r="K94" i="1"/>
  <c r="R94" i="1" s="1"/>
  <c r="S94" i="1" s="1"/>
  <c r="Z94" i="1"/>
  <c r="K73" i="1"/>
  <c r="R73" i="1" s="1"/>
  <c r="S73" i="1" s="1"/>
  <c r="Z73" i="1"/>
  <c r="K11" i="1"/>
  <c r="R11" i="1" s="1"/>
  <c r="S11" i="1" s="1"/>
  <c r="Z11" i="1"/>
  <c r="K59" i="1"/>
  <c r="R59" i="1" s="1"/>
  <c r="S59" i="1" s="1"/>
  <c r="Z59" i="1"/>
  <c r="K91" i="1"/>
  <c r="R91" i="1" s="1"/>
  <c r="S91" i="1" s="1"/>
  <c r="Z91" i="1"/>
  <c r="K68" i="1"/>
  <c r="R68" i="1" s="1"/>
  <c r="S68" i="1" s="1"/>
  <c r="Z68" i="1"/>
  <c r="K93" i="1"/>
  <c r="R93" i="1" s="1"/>
  <c r="S93" i="1" s="1"/>
  <c r="Z93" i="1"/>
  <c r="K24" i="1"/>
  <c r="R24" i="1" s="1"/>
  <c r="S24" i="1" s="1"/>
  <c r="Z24" i="1"/>
  <c r="K56" i="1"/>
  <c r="R56" i="1" s="1"/>
  <c r="S56" i="1" s="1"/>
  <c r="Z56" i="1"/>
  <c r="K88" i="1"/>
  <c r="R88" i="1" s="1"/>
  <c r="S88" i="1" s="1"/>
  <c r="Z88" i="1"/>
  <c r="K120" i="1"/>
  <c r="R120" i="1" s="1"/>
  <c r="S120" i="1" s="1"/>
  <c r="K18" i="1"/>
  <c r="R18" i="1" s="1"/>
  <c r="S18" i="1" s="1"/>
  <c r="Z18" i="1"/>
  <c r="K34" i="1"/>
  <c r="R34" i="1" s="1"/>
  <c r="S34" i="1" s="1"/>
  <c r="Z34" i="1"/>
  <c r="K50" i="1"/>
  <c r="R50" i="1" s="1"/>
  <c r="S50" i="1" s="1"/>
  <c r="Z50" i="1"/>
  <c r="K66" i="1"/>
  <c r="R66" i="1" s="1"/>
  <c r="S66" i="1" s="1"/>
  <c r="Z66" i="1"/>
  <c r="K82" i="1"/>
  <c r="R82" i="1" s="1"/>
  <c r="S82" i="1" s="1"/>
  <c r="Z82" i="1"/>
  <c r="K98" i="1"/>
  <c r="R98" i="1" s="1"/>
  <c r="S98" i="1" s="1"/>
  <c r="Z98" i="1"/>
  <c r="K114" i="1"/>
  <c r="R114" i="1" s="1"/>
  <c r="S114" i="1" s="1"/>
  <c r="K17" i="1"/>
  <c r="R17" i="1" s="1"/>
  <c r="Z17" i="1"/>
  <c r="K49" i="1"/>
  <c r="R49" i="1" s="1"/>
  <c r="Z49" i="1"/>
  <c r="K81" i="1"/>
  <c r="R81" i="1" s="1"/>
  <c r="Z81" i="1"/>
  <c r="K113" i="1"/>
  <c r="R113" i="1" s="1"/>
  <c r="S113" i="1" s="1"/>
  <c r="K15" i="1"/>
  <c r="R15" i="1" s="1"/>
  <c r="S15" i="1" s="1"/>
  <c r="Z15" i="1"/>
  <c r="K31" i="1"/>
  <c r="R31" i="1" s="1"/>
  <c r="S31" i="1" s="1"/>
  <c r="Z31" i="1"/>
  <c r="K47" i="1"/>
  <c r="R47" i="1" s="1"/>
  <c r="S47" i="1" s="1"/>
  <c r="Z47" i="1"/>
  <c r="K63" i="1"/>
  <c r="R63" i="1" s="1"/>
  <c r="S63" i="1" s="1"/>
  <c r="Z63" i="1"/>
  <c r="K79" i="1"/>
  <c r="R79" i="1" s="1"/>
  <c r="S79" i="1" s="1"/>
  <c r="Z79" i="1"/>
  <c r="K95" i="1"/>
  <c r="R95" i="1" s="1"/>
  <c r="S95" i="1" s="1"/>
  <c r="Z95" i="1"/>
  <c r="K111" i="1"/>
  <c r="R111" i="1" s="1"/>
  <c r="S111" i="1" s="1"/>
  <c r="K12" i="1"/>
  <c r="R12" i="1" s="1"/>
  <c r="S12" i="1" s="1"/>
  <c r="Z12" i="1"/>
  <c r="K44" i="1"/>
  <c r="R44" i="1" s="1"/>
  <c r="Z44" i="1"/>
  <c r="K76" i="1"/>
  <c r="R76" i="1" s="1"/>
  <c r="S76" i="1" s="1"/>
  <c r="Z76" i="1"/>
  <c r="K108" i="1"/>
  <c r="R108" i="1" s="1"/>
  <c r="S108" i="1" s="1"/>
  <c r="K101" i="1"/>
  <c r="R101" i="1" s="1"/>
  <c r="S101" i="1" s="1"/>
  <c r="Z101" i="1"/>
  <c r="K21" i="1"/>
  <c r="R21" i="1" s="1"/>
  <c r="S21" i="1" s="1"/>
  <c r="Z21" i="1"/>
  <c r="K61" i="1"/>
  <c r="R61" i="1" s="1"/>
  <c r="Z61" i="1"/>
  <c r="K109" i="1"/>
  <c r="R109" i="1" s="1"/>
  <c r="S109" i="1" s="1"/>
  <c r="K80" i="1"/>
  <c r="R80" i="1" s="1"/>
  <c r="S80" i="1" s="1"/>
  <c r="Z80" i="1"/>
  <c r="K30" i="1"/>
  <c r="R30" i="1" s="1"/>
  <c r="S30" i="1" s="1"/>
  <c r="Z30" i="1"/>
  <c r="K78" i="1"/>
  <c r="R78" i="1" s="1"/>
  <c r="S78" i="1" s="1"/>
  <c r="Z78" i="1"/>
  <c r="K105" i="1"/>
  <c r="R105" i="1" s="1"/>
  <c r="S105" i="1" s="1"/>
  <c r="K75" i="1"/>
  <c r="R75" i="1" s="1"/>
  <c r="S75" i="1" s="1"/>
  <c r="Z75" i="1"/>
  <c r="K123" i="1"/>
  <c r="R123" i="1" s="1"/>
  <c r="S123" i="1" s="1"/>
  <c r="K36" i="1"/>
  <c r="R36" i="1" s="1"/>
  <c r="S36" i="1" s="1"/>
  <c r="Z36" i="1"/>
  <c r="K69" i="1"/>
  <c r="R69" i="1" s="1"/>
  <c r="S69" i="1" s="1"/>
  <c r="Z69" i="1"/>
  <c r="K13" i="1"/>
  <c r="R13" i="1" s="1"/>
  <c r="S13" i="1" s="1"/>
  <c r="Z13" i="1"/>
  <c r="K32" i="1"/>
  <c r="R32" i="1" s="1"/>
  <c r="S32" i="1" s="1"/>
  <c r="Z32" i="1"/>
  <c r="K64" i="1"/>
  <c r="R64" i="1" s="1"/>
  <c r="S64" i="1" s="1"/>
  <c r="Z64" i="1"/>
  <c r="K6" i="1"/>
  <c r="R6" i="1" s="1"/>
  <c r="S6" i="1" s="1"/>
  <c r="Z6" i="1"/>
  <c r="K22" i="1"/>
  <c r="R22" i="1" s="1"/>
  <c r="Z22" i="1"/>
  <c r="K54" i="1"/>
  <c r="R54" i="1" s="1"/>
  <c r="S54" i="1" s="1"/>
  <c r="Z54" i="1"/>
  <c r="K70" i="1"/>
  <c r="R70" i="1" s="1"/>
  <c r="S70" i="1" s="1"/>
  <c r="Z70" i="1"/>
  <c r="K86" i="1"/>
  <c r="R86" i="1" s="1"/>
  <c r="S86" i="1" s="1"/>
  <c r="Z86" i="1"/>
  <c r="K102" i="1"/>
  <c r="R102" i="1" s="1"/>
  <c r="S102" i="1" s="1"/>
  <c r="Z102" i="1"/>
  <c r="K118" i="1"/>
  <c r="R118" i="1" s="1"/>
  <c r="S118" i="1" s="1"/>
  <c r="K25" i="1"/>
  <c r="R25" i="1" s="1"/>
  <c r="Z25" i="1"/>
  <c r="K57" i="1"/>
  <c r="R57" i="1" s="1"/>
  <c r="S57" i="1" s="1"/>
  <c r="Z57" i="1"/>
  <c r="K89" i="1"/>
  <c r="R89" i="1" s="1"/>
  <c r="Z89" i="1"/>
  <c r="K121" i="1"/>
  <c r="R121" i="1" s="1"/>
  <c r="S121" i="1" s="1"/>
  <c r="K19" i="1"/>
  <c r="R19" i="1" s="1"/>
  <c r="S19" i="1" s="1"/>
  <c r="Z19" i="1"/>
  <c r="K35" i="1"/>
  <c r="R35" i="1" s="1"/>
  <c r="S35" i="1" s="1"/>
  <c r="Z35" i="1"/>
  <c r="K51" i="1"/>
  <c r="R51" i="1" s="1"/>
  <c r="S51" i="1" s="1"/>
  <c r="Z51" i="1"/>
  <c r="K67" i="1"/>
  <c r="R67" i="1" s="1"/>
  <c r="S67" i="1" s="1"/>
  <c r="Z67" i="1"/>
  <c r="K83" i="1"/>
  <c r="R83" i="1" s="1"/>
  <c r="S83" i="1" s="1"/>
  <c r="Z83" i="1"/>
  <c r="K99" i="1"/>
  <c r="R99" i="1" s="1"/>
  <c r="S99" i="1" s="1"/>
  <c r="Z99" i="1"/>
  <c r="K115" i="1"/>
  <c r="R115" i="1" s="1"/>
  <c r="S115" i="1" s="1"/>
  <c r="K20" i="1"/>
  <c r="R20" i="1" s="1"/>
  <c r="S20" i="1" s="1"/>
  <c r="Z20" i="1"/>
  <c r="K52" i="1"/>
  <c r="R52" i="1" s="1"/>
  <c r="S52" i="1" s="1"/>
  <c r="Z52" i="1"/>
  <c r="K84" i="1"/>
  <c r="R84" i="1" s="1"/>
  <c r="S84" i="1" s="1"/>
  <c r="Z84" i="1"/>
  <c r="K116" i="1"/>
  <c r="R116" i="1" s="1"/>
  <c r="S116" i="1" s="1"/>
  <c r="K37" i="1"/>
  <c r="R37" i="1" s="1"/>
  <c r="Z37" i="1"/>
  <c r="K29" i="1"/>
  <c r="R29" i="1" s="1"/>
  <c r="Z29" i="1"/>
  <c r="K77" i="1"/>
  <c r="R77" i="1" s="1"/>
  <c r="Z77" i="1"/>
  <c r="K117" i="1"/>
  <c r="R117" i="1" s="1"/>
  <c r="S117" i="1" s="1"/>
  <c r="K16" i="1"/>
  <c r="R16" i="1" s="1"/>
  <c r="S16" i="1" s="1"/>
  <c r="Z16" i="1"/>
  <c r="K48" i="1"/>
  <c r="R48" i="1" s="1"/>
  <c r="S48" i="1" s="1"/>
  <c r="Z48" i="1"/>
  <c r="K14" i="1"/>
  <c r="R14" i="1" s="1"/>
  <c r="S14" i="1" s="1"/>
  <c r="Z14" i="1"/>
  <c r="K46" i="1"/>
  <c r="R46" i="1" s="1"/>
  <c r="S46" i="1" s="1"/>
  <c r="Z46" i="1"/>
  <c r="K110" i="1"/>
  <c r="R110" i="1" s="1"/>
  <c r="S110" i="1" s="1"/>
  <c r="K9" i="1"/>
  <c r="R9" i="1" s="1"/>
  <c r="S9" i="1" s="1"/>
  <c r="Z9" i="1"/>
  <c r="K41" i="1"/>
  <c r="R41" i="1" s="1"/>
  <c r="Z41" i="1"/>
  <c r="K27" i="1"/>
  <c r="R27" i="1" s="1"/>
  <c r="S27" i="1" s="1"/>
  <c r="Z27" i="1"/>
  <c r="K43" i="1"/>
  <c r="R43" i="1" s="1"/>
  <c r="S43" i="1" s="1"/>
  <c r="Z43" i="1"/>
  <c r="K107" i="1"/>
  <c r="R107" i="1" s="1"/>
  <c r="S107" i="1" s="1"/>
  <c r="K100" i="1"/>
  <c r="R100" i="1" s="1"/>
  <c r="S100" i="1" s="1"/>
  <c r="Z100" i="1"/>
  <c r="K53" i="1"/>
  <c r="R53" i="1" s="1"/>
  <c r="Z53" i="1"/>
  <c r="K96" i="1"/>
  <c r="R96" i="1" s="1"/>
  <c r="S96" i="1" s="1"/>
  <c r="Z96" i="1"/>
  <c r="K38" i="1"/>
  <c r="R38" i="1" s="1"/>
  <c r="S38" i="1" s="1"/>
  <c r="Z38" i="1"/>
  <c r="K40" i="1"/>
  <c r="R40" i="1" s="1"/>
  <c r="S40" i="1" s="1"/>
  <c r="Z40" i="1"/>
  <c r="K72" i="1"/>
  <c r="R72" i="1" s="1"/>
  <c r="S72" i="1" s="1"/>
  <c r="Z72" i="1"/>
  <c r="K104" i="1"/>
  <c r="R104" i="1" s="1"/>
  <c r="S104" i="1" s="1"/>
  <c r="K10" i="1"/>
  <c r="R10" i="1" s="1"/>
  <c r="S10" i="1" s="1"/>
  <c r="Z10" i="1"/>
  <c r="K26" i="1"/>
  <c r="R26" i="1" s="1"/>
  <c r="S26" i="1" s="1"/>
  <c r="Z26" i="1"/>
  <c r="K42" i="1"/>
  <c r="R42" i="1" s="1"/>
  <c r="S42" i="1" s="1"/>
  <c r="Z42" i="1"/>
  <c r="K58" i="1"/>
  <c r="R58" i="1" s="1"/>
  <c r="S58" i="1" s="1"/>
  <c r="Z58" i="1"/>
  <c r="K74" i="1"/>
  <c r="R74" i="1" s="1"/>
  <c r="S74" i="1" s="1"/>
  <c r="Z74" i="1"/>
  <c r="K90" i="1"/>
  <c r="R90" i="1" s="1"/>
  <c r="S90" i="1" s="1"/>
  <c r="Z90" i="1"/>
  <c r="K106" i="1"/>
  <c r="R106" i="1" s="1"/>
  <c r="S106" i="1" s="1"/>
  <c r="K122" i="1"/>
  <c r="R122" i="1" s="1"/>
  <c r="S122" i="1" s="1"/>
  <c r="K33" i="1"/>
  <c r="R33" i="1" s="1"/>
  <c r="S33" i="1" s="1"/>
  <c r="Z33" i="1"/>
  <c r="K65" i="1"/>
  <c r="R65" i="1" s="1"/>
  <c r="Z65" i="1"/>
  <c r="K97" i="1"/>
  <c r="R97" i="1" s="1"/>
  <c r="S97" i="1" s="1"/>
  <c r="Z97" i="1"/>
  <c r="K7" i="1"/>
  <c r="R7" i="1" s="1"/>
  <c r="S7" i="1" s="1"/>
  <c r="Z7" i="1"/>
  <c r="K23" i="1"/>
  <c r="R23" i="1" s="1"/>
  <c r="S23" i="1" s="1"/>
  <c r="Z23" i="1"/>
  <c r="K39" i="1"/>
  <c r="R39" i="1" s="1"/>
  <c r="S39" i="1" s="1"/>
  <c r="Z39" i="1"/>
  <c r="K55" i="1"/>
  <c r="R55" i="1" s="1"/>
  <c r="S55" i="1" s="1"/>
  <c r="Z55" i="1"/>
  <c r="K71" i="1"/>
  <c r="R71" i="1" s="1"/>
  <c r="S71" i="1" s="1"/>
  <c r="Z71" i="1"/>
  <c r="K87" i="1"/>
  <c r="R87" i="1" s="1"/>
  <c r="S87" i="1" s="1"/>
  <c r="Z87" i="1"/>
  <c r="K103" i="1"/>
  <c r="R103" i="1" s="1"/>
  <c r="S103" i="1" s="1"/>
  <c r="Z103" i="1"/>
  <c r="K119" i="1"/>
  <c r="R119" i="1" s="1"/>
  <c r="S119" i="1" s="1"/>
  <c r="K28" i="1"/>
  <c r="R28" i="1" s="1"/>
  <c r="Z28" i="1"/>
  <c r="K60" i="1"/>
  <c r="R60" i="1" s="1"/>
  <c r="Z60" i="1"/>
  <c r="K92" i="1"/>
  <c r="R92" i="1" s="1"/>
  <c r="S92" i="1" s="1"/>
  <c r="Z92" i="1"/>
  <c r="K124" i="1"/>
  <c r="R124" i="1" s="1"/>
  <c r="S124" i="1" s="1"/>
  <c r="K8" i="1"/>
  <c r="R8" i="1" s="1"/>
  <c r="S8" i="1" s="1"/>
  <c r="Z8" i="1"/>
  <c r="K45" i="1"/>
  <c r="R45" i="1" s="1"/>
  <c r="S45" i="1" s="1"/>
  <c r="Z45" i="1"/>
  <c r="K85" i="1"/>
  <c r="R85" i="1" s="1"/>
  <c r="S85" i="1" s="1"/>
  <c r="Z85" i="1"/>
  <c r="K5" i="1"/>
  <c r="R5" i="1" s="1"/>
  <c r="S5" i="1" s="1"/>
  <c r="U125" i="1" l="1"/>
  <c r="V125" i="1"/>
  <c r="U113" i="1"/>
  <c r="V113" i="1"/>
  <c r="U123" i="1"/>
  <c r="V123" i="1"/>
  <c r="U111" i="1"/>
  <c r="V111" i="1"/>
  <c r="U115" i="1"/>
  <c r="V115" i="1"/>
  <c r="V119" i="1"/>
  <c r="U119" i="1"/>
  <c r="V107" i="1"/>
  <c r="U107" i="1"/>
  <c r="V127" i="1"/>
  <c r="U127" i="1"/>
  <c r="V122" i="1"/>
  <c r="U122" i="1"/>
  <c r="V110" i="1"/>
  <c r="U110" i="1"/>
  <c r="V109" i="1"/>
  <c r="U109" i="1"/>
  <c r="V118" i="1"/>
  <c r="U118" i="1"/>
  <c r="V106" i="1"/>
  <c r="U106" i="1"/>
  <c r="V117" i="1"/>
  <c r="U117" i="1"/>
  <c r="V105" i="1"/>
  <c r="U105" i="1"/>
  <c r="U108" i="1"/>
  <c r="V108" i="1"/>
  <c r="U104" i="1"/>
  <c r="V104" i="1"/>
  <c r="V114" i="1"/>
  <c r="U114" i="1"/>
  <c r="U112" i="1"/>
  <c r="V112" i="1"/>
  <c r="V129" i="1"/>
  <c r="U129" i="1"/>
  <c r="U124" i="1"/>
  <c r="V124" i="1"/>
  <c r="U116" i="1"/>
  <c r="V116" i="1"/>
  <c r="V121" i="1"/>
  <c r="U121" i="1"/>
  <c r="V130" i="1"/>
  <c r="U130" i="1"/>
  <c r="V134" i="1"/>
  <c r="U134" i="1"/>
  <c r="U132" i="1"/>
  <c r="V132" i="1"/>
  <c r="V126" i="1"/>
  <c r="U126" i="1"/>
  <c r="U128" i="1"/>
  <c r="V128" i="1"/>
  <c r="U136" i="1"/>
  <c r="V136" i="1"/>
  <c r="U135" i="1"/>
  <c r="V135" i="1"/>
  <c r="U120" i="1"/>
  <c r="V120" i="1"/>
  <c r="U131" i="1"/>
  <c r="V131" i="1"/>
  <c r="V133" i="1"/>
  <c r="U133" i="1"/>
  <c r="S29" i="1"/>
  <c r="V29" i="1" s="1"/>
  <c r="S89" i="1"/>
  <c r="U89" i="1" s="1"/>
  <c r="S25" i="1"/>
  <c r="U25" i="1" s="1"/>
  <c r="S22" i="1"/>
  <c r="U22" i="1" s="1"/>
  <c r="S61" i="1"/>
  <c r="V61" i="1" s="1"/>
  <c r="U101" i="1"/>
  <c r="S49" i="1"/>
  <c r="V49" i="1" s="1"/>
  <c r="S60" i="1"/>
  <c r="U60" i="1" s="1"/>
  <c r="S53" i="1"/>
  <c r="V53" i="1" s="1"/>
  <c r="S37" i="1"/>
  <c r="V37" i="1" s="1"/>
  <c r="S44" i="1"/>
  <c r="V44" i="1" s="1"/>
  <c r="S28" i="1"/>
  <c r="V28" i="1" s="1"/>
  <c r="S65" i="1"/>
  <c r="U65" i="1" s="1"/>
  <c r="S41" i="1"/>
  <c r="V41" i="1" s="1"/>
  <c r="S77" i="1"/>
  <c r="V77" i="1" s="1"/>
  <c r="S81" i="1"/>
  <c r="U81" i="1" s="1"/>
  <c r="S17" i="1"/>
  <c r="U17" i="1" s="1"/>
  <c r="V5" i="1"/>
  <c r="U5" i="1"/>
  <c r="V54" i="1"/>
  <c r="U54" i="1"/>
  <c r="V30" i="1"/>
  <c r="U30" i="1"/>
  <c r="V18" i="1"/>
  <c r="U18" i="1"/>
  <c r="U66" i="1"/>
  <c r="V66" i="1"/>
  <c r="V6" i="1"/>
  <c r="U6" i="1"/>
  <c r="V90" i="1"/>
  <c r="U90" i="1"/>
  <c r="U42" i="1"/>
  <c r="V42" i="1"/>
  <c r="U78" i="1"/>
  <c r="V78" i="1"/>
  <c r="V102" i="1"/>
  <c r="U102" i="1"/>
  <c r="V15" i="1"/>
  <c r="U15" i="1"/>
  <c r="V95" i="1"/>
  <c r="U95" i="1"/>
  <c r="V76" i="1"/>
  <c r="U76" i="1"/>
  <c r="V88" i="1"/>
  <c r="U88" i="1"/>
  <c r="U82" i="1"/>
  <c r="V82" i="1"/>
  <c r="V7" i="1"/>
  <c r="U7" i="1"/>
  <c r="V75" i="1"/>
  <c r="U75" i="1"/>
  <c r="V32" i="1"/>
  <c r="U32" i="1"/>
  <c r="V91" i="1"/>
  <c r="U91" i="1"/>
  <c r="U74" i="1"/>
  <c r="V74" i="1"/>
  <c r="V31" i="1"/>
  <c r="U31" i="1"/>
  <c r="V69" i="1"/>
  <c r="U69" i="1"/>
  <c r="V103" i="1"/>
  <c r="U103" i="1"/>
  <c r="V68" i="1"/>
  <c r="U68" i="1"/>
  <c r="V14" i="1"/>
  <c r="U14" i="1"/>
  <c r="V20" i="1"/>
  <c r="U20" i="1"/>
  <c r="V80" i="1"/>
  <c r="U80" i="1"/>
  <c r="V27" i="1"/>
  <c r="U27" i="1"/>
  <c r="V12" i="1"/>
  <c r="U12" i="1"/>
  <c r="V97" i="1"/>
  <c r="U97" i="1"/>
  <c r="V13" i="1"/>
  <c r="U13" i="1"/>
  <c r="U70" i="1"/>
  <c r="V70" i="1"/>
  <c r="V16" i="1"/>
  <c r="U16" i="1"/>
  <c r="V56" i="1"/>
  <c r="U56" i="1"/>
  <c r="U98" i="1"/>
  <c r="V98" i="1"/>
  <c r="U46" i="1"/>
  <c r="V46" i="1"/>
  <c r="V67" i="1"/>
  <c r="U67" i="1"/>
  <c r="V23" i="1"/>
  <c r="U23" i="1"/>
  <c r="V39" i="1"/>
  <c r="U39" i="1"/>
  <c r="V24" i="1"/>
  <c r="U24" i="1"/>
  <c r="V36" i="1"/>
  <c r="U36" i="1"/>
  <c r="V79" i="1"/>
  <c r="U79" i="1"/>
  <c r="V55" i="1"/>
  <c r="U55" i="1"/>
  <c r="V64" i="1"/>
  <c r="U64" i="1"/>
  <c r="U21" i="1"/>
  <c r="V21" i="1"/>
  <c r="U94" i="1"/>
  <c r="V94" i="1"/>
  <c r="V59" i="1"/>
  <c r="U59" i="1"/>
  <c r="V99" i="1"/>
  <c r="U99" i="1"/>
  <c r="V71" i="1"/>
  <c r="U71" i="1"/>
  <c r="U9" i="1"/>
  <c r="V9" i="1"/>
  <c r="V45" i="1"/>
  <c r="U45" i="1"/>
  <c r="V96" i="1"/>
  <c r="U96" i="1"/>
  <c r="V52" i="1"/>
  <c r="U52" i="1"/>
  <c r="V8" i="1"/>
  <c r="U8" i="1"/>
  <c r="V72" i="1"/>
  <c r="U72" i="1"/>
  <c r="U86" i="1"/>
  <c r="V86" i="1"/>
  <c r="U58" i="1"/>
  <c r="V58" i="1"/>
  <c r="V83" i="1"/>
  <c r="U83" i="1"/>
  <c r="V47" i="1"/>
  <c r="U47" i="1"/>
  <c r="V26" i="1"/>
  <c r="U26" i="1"/>
  <c r="V10" i="1"/>
  <c r="U10" i="1"/>
  <c r="V100" i="1"/>
  <c r="U100" i="1"/>
  <c r="V57" i="1"/>
  <c r="U57" i="1"/>
  <c r="V43" i="1"/>
  <c r="U43" i="1"/>
  <c r="U38" i="1"/>
  <c r="V38" i="1"/>
  <c r="V92" i="1"/>
  <c r="U92" i="1"/>
  <c r="V48" i="1"/>
  <c r="U48" i="1"/>
  <c r="V11" i="1"/>
  <c r="U11" i="1"/>
  <c r="V85" i="1"/>
  <c r="U85" i="1"/>
  <c r="U50" i="1"/>
  <c r="V50" i="1"/>
  <c r="V73" i="1"/>
  <c r="U73" i="1"/>
  <c r="U62" i="1"/>
  <c r="V62" i="1"/>
  <c r="V93" i="1"/>
  <c r="U93" i="1"/>
  <c r="U33" i="1"/>
  <c r="V33" i="1"/>
  <c r="V51" i="1"/>
  <c r="U51" i="1"/>
  <c r="V87" i="1"/>
  <c r="U87" i="1"/>
  <c r="V35" i="1"/>
  <c r="U35" i="1"/>
  <c r="V63" i="1"/>
  <c r="U63" i="1"/>
  <c r="V19" i="1"/>
  <c r="U19" i="1"/>
  <c r="V34" i="1"/>
  <c r="U34" i="1"/>
  <c r="V84" i="1"/>
  <c r="U84" i="1"/>
  <c r="V40" i="1"/>
  <c r="U40" i="1"/>
  <c r="U29" i="1" l="1"/>
  <c r="V60" i="1"/>
  <c r="U28" i="1"/>
  <c r="U61" i="1"/>
  <c r="V81" i="1"/>
  <c r="U37" i="1"/>
  <c r="V25" i="1"/>
  <c r="U44" i="1"/>
  <c r="U49" i="1"/>
  <c r="U53" i="1"/>
  <c r="V17" i="1"/>
  <c r="U77" i="1"/>
  <c r="V65" i="1"/>
  <c r="V101" i="1"/>
  <c r="V22" i="1"/>
  <c r="V89" i="1"/>
  <c r="U41" i="1"/>
</calcChain>
</file>

<file path=xl/sharedStrings.xml><?xml version="1.0" encoding="utf-8"?>
<sst xmlns="http://schemas.openxmlformats.org/spreadsheetml/2006/main" count="60" uniqueCount="57">
  <si>
    <t>Ano</t>
  </si>
  <si>
    <t>Mês</t>
  </si>
  <si>
    <t>Preço (US$/saca) - Paranaguá</t>
  </si>
  <si>
    <t>Preço (R$/saca) - Paranaguá</t>
  </si>
  <si>
    <t>Cotação (R$/Dolar)</t>
  </si>
  <si>
    <t>Selic</t>
  </si>
  <si>
    <t>a.a.</t>
  </si>
  <si>
    <t>a.m.</t>
  </si>
  <si>
    <t>Taxa de Juros</t>
  </si>
  <si>
    <t>Armazenagem (R$/saca)</t>
  </si>
  <si>
    <t>Meses de Armazenamento</t>
  </si>
  <si>
    <t>Custo de Armazenagem (R$/saca)</t>
  </si>
  <si>
    <t>Receita Líquida (R$/saca)</t>
  </si>
  <si>
    <t>Colheita</t>
  </si>
  <si>
    <t>Mês/Ano</t>
  </si>
  <si>
    <t>Chave-Colheita</t>
  </si>
  <si>
    <t>Juros (R$/saca)</t>
  </si>
  <si>
    <t>Ganho/Perda com Armazenagem (R$/saca)</t>
  </si>
  <si>
    <t>Custo de Elevação (R$/saca)</t>
  </si>
  <si>
    <t>Prêmio (R$/saca)</t>
  </si>
  <si>
    <t>Chave-Armazenagem</t>
  </si>
  <si>
    <t>Chave</t>
  </si>
  <si>
    <t>SIARMA - Deflacionado</t>
  </si>
  <si>
    <t>Gráfico (+)</t>
  </si>
  <si>
    <t>Gráfico (-)</t>
  </si>
  <si>
    <t>Mês/Ano2</t>
  </si>
  <si>
    <t>Fevereiro</t>
  </si>
  <si>
    <t>Mês_num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</si>
  <si>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</si>
  <si>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</si>
  <si>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</si>
  <si>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</si>
  <si>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</si>
  <si>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</si>
  <si>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</si>
  <si>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</si>
  <si>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</si>
  <si>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</si>
  <si>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</si>
  <si>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de Colheita</t>
  </si>
  <si>
    <t>Variáveis incluídas na análise: preço do produto, custo de armazenagem, custo de transporte e taxa de juros (custo de oportunidade)</t>
  </si>
  <si>
    <t>Preço (R$/saca)_Época da Colheita</t>
  </si>
  <si>
    <t>Transporte (R$/saca)</t>
  </si>
  <si>
    <t>Tempo de Armazenagem (meses)</t>
  </si>
  <si>
    <t>Índice Frete/Preço (%)</t>
  </si>
  <si>
    <t>Transporte (R$/saca)_Colheita</t>
  </si>
  <si>
    <t>Índice de Transporte (%)_Base Colheita</t>
  </si>
  <si>
    <t>Índice de Preço (%)_Base Colheita</t>
  </si>
  <si>
    <t>ANÁLISE DAS ESTRATÉGIAS DE UTILIZAÇÃO DE ARMAZENAGEM | SORRISO (MT)</t>
  </si>
  <si>
    <t/>
  </si>
  <si>
    <t>Grupo de Pesquisa e Extensão em Logística Agroindustrial (ESALQ-LOG)</t>
  </si>
  <si>
    <t>Responsáveis:</t>
  </si>
  <si>
    <t>Thiago Guilherme Péra</t>
  </si>
  <si>
    <t>Desenvolvimento do material:</t>
  </si>
  <si>
    <t>Para mais informações, acesse: esalqlog.esalq.usp.br</t>
  </si>
  <si>
    <t>Fernando Vinícius da Rocha (fernando.vinicius.rocha@usp.br)</t>
  </si>
  <si>
    <t>Prof. Dr. José Vicente Caixeta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</si>
</sst>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_-* #,##0.00000_-;\-* #,##0.0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2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0" fillId="0" borderId="0" xfId="0" applyNumberFormat="1"/>
    <xf numFmtId="0" fontId="0" fillId="0" borderId="1" xfId="0" applyBorder="1"/>
    <xf numFmtId="43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17" fontId="0" fillId="0" borderId="0" xfId="0" applyNumberFormat="1"/>
    <xf numFmtId="165" fontId="2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44" fontId="4" fillId="0" borderId="0" xfId="4" applyNumberFormat="1" applyFont="1"/>
    <xf numFmtId="0" fontId="6" fillId="0" borderId="0" xfId="0" applyFont="1"/>
    <xf numFmtId="0" fontId="2" fillId="4" borderId="10" xfId="0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9" fontId="0" fillId="0" borderId="0" xfId="2" applyFont="1"/>
    <xf numFmtId="0" fontId="8" fillId="7" borderId="0" xfId="0" applyFont="1" applyFill="1"/>
    <xf numFmtId="0" fontId="9" fillId="7" borderId="0" xfId="0" applyFont="1" applyFill="1"/>
    <xf numFmtId="0" fontId="6" fillId="7" borderId="0" xfId="0" applyFont="1" applyFill="1"/>
    <xf numFmtId="44" fontId="10" fillId="7" borderId="0" xfId="4" applyNumberFormat="1" applyFont="1" applyFill="1"/>
    <xf numFmtId="0" fontId="0" fillId="0" borderId="0" xfId="0" quotePrefix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16" fillId="0" borderId="12" xfId="0" applyFont="1" applyBorder="1" applyAlignment="1">
      <alignment horizontal="right"/>
    </xf>
    <xf numFmtId="0" fontId="15" fillId="0" borderId="13" xfId="0" applyFont="1" applyBorder="1"/>
    <xf numFmtId="0" fontId="14" fillId="0" borderId="13" xfId="0" applyFont="1" applyBorder="1"/>
    <xf numFmtId="0" fontId="12" fillId="0" borderId="13" xfId="0" applyFont="1" applyBorder="1"/>
    <xf numFmtId="0" fontId="12" fillId="0" borderId="14" xfId="0" applyFont="1" applyBorder="1"/>
    <xf numFmtId="0" fontId="15" fillId="0" borderId="15" xfId="0" applyFont="1" applyBorder="1" applyAlignment="1">
      <alignment horizontal="right"/>
    </xf>
    <xf numFmtId="0" fontId="12" fillId="0" borderId="16" xfId="0" applyFont="1" applyBorder="1"/>
    <xf numFmtId="0" fontId="16" fillId="0" borderId="15" xfId="0" applyFont="1" applyBorder="1" applyAlignment="1">
      <alignment horizontal="right"/>
    </xf>
    <xf numFmtId="0" fontId="15" fillId="0" borderId="15" xfId="0" applyFont="1" applyBorder="1"/>
    <xf numFmtId="0" fontId="15" fillId="0" borderId="17" xfId="0" applyFont="1" applyBorder="1"/>
    <xf numFmtId="0" fontId="15" fillId="0" borderId="18" xfId="0" applyFont="1" applyBorder="1"/>
    <xf numFmtId="0" fontId="14" fillId="0" borderId="18" xfId="0" applyFont="1" applyBorder="1"/>
    <xf numFmtId="0" fontId="12" fillId="0" borderId="18" xfId="0" applyFont="1" applyBorder="1"/>
    <xf numFmtId="0" fontId="12" fillId="0" borderId="19" xfId="0" applyFont="1" applyBorder="1"/>
    <xf numFmtId="17" fontId="0" fillId="0" borderId="20" xfId="0" applyNumberFormat="1" applyFont="1" applyBorder="1"/>
    <xf numFmtId="17" fontId="0" fillId="9" borderId="20" xfId="0" applyNumberFormat="1" applyFont="1" applyFill="1" applyBorder="1"/>
    <xf numFmtId="43" fontId="0" fillId="0" borderId="0" xfId="0" applyNumberFormat="1" applyFill="1"/>
    <xf numFmtId="0" fontId="0" fillId="0" borderId="0" xfId="0" applyFill="1"/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17" fillId="8" borderId="0" xfId="5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</cellXfs>
  <cellStyles count="6">
    <cellStyle name="Hiperlink" xfId="5" builtinId="8"/>
    <cellStyle name="Moeda" xfId="4" builtinId="4"/>
    <cellStyle name="Normal" xfId="0" builtinId="0"/>
    <cellStyle name="Porcentagem" xfId="2" builtinId="5"/>
    <cellStyle name="Vírgula" xfId="1" builtinId="3"/>
    <cellStyle name="Vírgula 3 2" xfId="3"/>
  </cellStyles>
  <dxfs count="20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-&quot;R$&quot;\ * #,##0.00_-;\-&quot;R$&quot;\ * #,##0.00_-;_-&quot;R$&quot;\ 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%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22" formatCode="mmm/yy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8" tint="-0.249977111117893"/>
        </patternFill>
      </fill>
    </dxf>
  </dxfs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Base!$U$4</c:f>
              <c:strCache>
                <c:ptCount val="1"/>
                <c:pt idx="0">
                  <c:v>Gráfico (+)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numRef>
              <c:f>Base!$D$5:$D$136</c:f>
              <c:numCache>
                <c:formatCode>mmm\-yy</c:formatCode>
                <c:ptCount val="13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</c:numCache>
            </c:numRef>
          </c:cat>
          <c:val>
            <c:numRef>
              <c:f>Base!$U$5:$U$148</c:f>
              <c:numCache>
                <c:formatCode>_("R$"* #,##0.00_);_("R$"* \(#,##0.00\);_("R$"* "-"??_);_(@_)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7.4922775344095527E-2</c:v>
                </c:pt>
                <c:pt idx="8">
                  <c:v>3.6514820171013262</c:v>
                </c:pt>
                <c:pt idx="9">
                  <c:v>3.3745899345363704</c:v>
                </c:pt>
                <c:pt idx="10">
                  <c:v>3.5107343133868447</c:v>
                </c:pt>
                <c:pt idx="11">
                  <c:v>6.4934403276140884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3.2252804628889535</c:v>
                </c:pt>
                <c:pt idx="18">
                  <c:v>2.9038885552336069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1.9308440376339533</c:v>
                </c:pt>
                <c:pt idx="28">
                  <c:v>4.6797900500921656</c:v>
                </c:pt>
                <c:pt idx="29">
                  <c:v>3.6241845519814575</c:v>
                </c:pt>
                <c:pt idx="30">
                  <c:v>1.301519097847617</c:v>
                </c:pt>
                <c:pt idx="31">
                  <c:v>1.6857064495213478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2.2742978984395776</c:v>
                </c:pt>
                <c:pt idx="43">
                  <c:v>3.9311248153174958</c:v>
                </c:pt>
                <c:pt idx="44">
                  <c:v>4.7199847558521384</c:v>
                </c:pt>
                <c:pt idx="45">
                  <c:v>5.1562557416163131</c:v>
                </c:pt>
                <c:pt idx="46">
                  <c:v>9.083909659238163</c:v>
                </c:pt>
                <c:pt idx="47">
                  <c:v>8.7750267082957372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4.2966173052505283</c:v>
                </c:pt>
                <c:pt idx="64">
                  <c:v>7.3079470629502836</c:v>
                </c:pt>
                <c:pt idx="65">
                  <c:v>11.790508544303677</c:v>
                </c:pt>
                <c:pt idx="66">
                  <c:v>22.03531169160253</c:v>
                </c:pt>
                <c:pt idx="67">
                  <c:v>26.939967510706765</c:v>
                </c:pt>
                <c:pt idx="68">
                  <c:v>26.190718251522924</c:v>
                </c:pt>
                <c:pt idx="69">
                  <c:v>15.255342314769202</c:v>
                </c:pt>
                <c:pt idx="70">
                  <c:v>14.70562367122907</c:v>
                </c:pt>
                <c:pt idx="71">
                  <c:v>13.644972942418157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1.1992571592006698</c:v>
                </c:pt>
                <c:pt idx="77">
                  <c:v>7.2407520565411403</c:v>
                </c:pt>
                <c:pt idx="78">
                  <c:v>6.8715103556462509</c:v>
                </c:pt>
                <c:pt idx="79">
                  <c:v>6.8462466970229343</c:v>
                </c:pt>
                <c:pt idx="80">
                  <c:v>9.5121520183005615</c:v>
                </c:pt>
                <c:pt idx="81">
                  <c:v>10.563177988875836</c:v>
                </c:pt>
                <c:pt idx="82">
                  <c:v>13.153716771615528</c:v>
                </c:pt>
                <c:pt idx="83">
                  <c:v>14.082766044882817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0.36535349558267427</c:v>
                </c:pt>
                <c:pt idx="103">
                  <c:v>3.861428706977712</c:v>
                </c:pt>
                <c:pt idx="104">
                  <c:v>7.3040017990359019</c:v>
                </c:pt>
                <c:pt idx="105">
                  <c:v>6.5530918159017375</c:v>
                </c:pt>
                <c:pt idx="106">
                  <c:v>3.1030210563758445</c:v>
                </c:pt>
                <c:pt idx="107">
                  <c:v>2.8237236872885845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0.60856572481021942</c:v>
                </c:pt>
                <c:pt idx="112">
                  <c:v>10.335074009579799</c:v>
                </c:pt>
                <c:pt idx="113">
                  <c:v>16.895804351051794</c:v>
                </c:pt>
                <c:pt idx="114">
                  <c:v>8.6777642409000464</c:v>
                </c:pt>
                <c:pt idx="115">
                  <c:v>3.0887272254654334</c:v>
                </c:pt>
                <c:pt idx="116">
                  <c:v>1.7372602179550114</c:v>
                </c:pt>
                <c:pt idx="117">
                  <c:v>0</c:v>
                </c:pt>
                <c:pt idx="118">
                  <c:v>0.29803764542824496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1.2137539337474408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</c:ser>
        <c:ser>
          <c:idx val="1"/>
          <c:order val="1"/>
          <c:tx>
            <c:strRef>
              <c:f>Base!$V$4</c:f>
              <c:strCache>
                <c:ptCount val="1"/>
                <c:pt idx="0">
                  <c:v>Gráfico (-)</c:v>
                </c:pt>
              </c:strCache>
            </c:strRef>
          </c:tx>
          <c:spPr>
            <a:solidFill>
              <a:srgbClr val="920000"/>
            </a:solidFill>
            <a:ln>
              <a:noFill/>
            </a:ln>
            <a:effectLst/>
          </c:spPr>
          <c:invertIfNegative val="0"/>
          <c:cat>
            <c:numRef>
              <c:f>Base!$D$5:$D$136</c:f>
              <c:numCache>
                <c:formatCode>mmm\-yy</c:formatCode>
                <c:ptCount val="13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</c:numCache>
            </c:numRef>
          </c:cat>
          <c:val>
            <c:numRef>
              <c:f>Base!$V$5:$V$148</c:f>
              <c:numCache>
                <c:formatCode>_("R$"* #,##0.00_);_("R$"* \(#,##0.00\);_("R$"* "-"??_);_(@_)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-3.1078521814913138</c:v>
                </c:pt>
                <c:pt idx="4">
                  <c:v>-2.5037318277138674</c:v>
                </c:pt>
                <c:pt idx="5">
                  <c:v>-2.154138137966779</c:v>
                </c:pt>
                <c:pt idx="6">
                  <c:v>-2.2590879568670843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-0.83981389374675786</c:v>
                </c:pt>
                <c:pt idx="16">
                  <c:v>-1.9063715076963987</c:v>
                </c:pt>
                <c:pt idx="17">
                  <c:v>0</c:v>
                </c:pt>
                <c:pt idx="18">
                  <c:v>0</c:v>
                </c:pt>
                <c:pt idx="19">
                  <c:v>-3.8228888042523934</c:v>
                </c:pt>
                <c:pt idx="20">
                  <c:v>-2.9066441458565606</c:v>
                </c:pt>
                <c:pt idx="21">
                  <c:v>-4.8858183075135955</c:v>
                </c:pt>
                <c:pt idx="22">
                  <c:v>-4.9490104222530462</c:v>
                </c:pt>
                <c:pt idx="23">
                  <c:v>-6.2991752770082563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-2.5683606162128498</c:v>
                </c:pt>
                <c:pt idx="33">
                  <c:v>-6.050984633646344</c:v>
                </c:pt>
                <c:pt idx="34">
                  <c:v>-8.2927523896372541</c:v>
                </c:pt>
                <c:pt idx="35">
                  <c:v>-9.6663998597441214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-0.85861393449390278</c:v>
                </c:pt>
                <c:pt idx="40">
                  <c:v>-0.58493893221488236</c:v>
                </c:pt>
                <c:pt idx="41">
                  <c:v>-0.1614943448347681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-3.7629527943858889</c:v>
                </c:pt>
                <c:pt idx="52">
                  <c:v>-3.0052508216717158</c:v>
                </c:pt>
                <c:pt idx="53">
                  <c:v>-3.7455516834194924</c:v>
                </c:pt>
                <c:pt idx="54">
                  <c:v>-3.9870081781272546</c:v>
                </c:pt>
                <c:pt idx="55">
                  <c:v>-4.1713948922364636</c:v>
                </c:pt>
                <c:pt idx="56">
                  <c:v>-1.4714084870786408</c:v>
                </c:pt>
                <c:pt idx="57">
                  <c:v>-5.3094323100659082</c:v>
                </c:pt>
                <c:pt idx="58">
                  <c:v>-5.2865539523436311</c:v>
                </c:pt>
                <c:pt idx="59">
                  <c:v>-5.6404632170331368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-2.7576750693264316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-0.68252894869478098</c:v>
                </c:pt>
                <c:pt idx="88">
                  <c:v>-0.82916391816608126</c:v>
                </c:pt>
                <c:pt idx="89">
                  <c:v>-0.82921329467102112</c:v>
                </c:pt>
                <c:pt idx="90">
                  <c:v>-6.0560820432870557</c:v>
                </c:pt>
                <c:pt idx="91">
                  <c:v>-7.1284551179643216</c:v>
                </c:pt>
                <c:pt idx="92">
                  <c:v>-12.081588515448182</c:v>
                </c:pt>
                <c:pt idx="93">
                  <c:v>-13.960524593963946</c:v>
                </c:pt>
                <c:pt idx="94">
                  <c:v>-14.229281161947647</c:v>
                </c:pt>
                <c:pt idx="95">
                  <c:v>-15.732671743002932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-1.221647743245903</c:v>
                </c:pt>
                <c:pt idx="100">
                  <c:v>-3.5751848165403288</c:v>
                </c:pt>
                <c:pt idx="101">
                  <c:v>-2.9540504996931745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-0.15524982649397856</c:v>
                </c:pt>
                <c:pt idx="118">
                  <c:v>0</c:v>
                </c:pt>
                <c:pt idx="119">
                  <c:v>-0.82995875225758908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-4.218141019668721</c:v>
                </c:pt>
                <c:pt idx="124">
                  <c:v>-0.66302809147372699</c:v>
                </c:pt>
                <c:pt idx="125">
                  <c:v>-1.9970324792960525</c:v>
                </c:pt>
                <c:pt idx="126">
                  <c:v>0</c:v>
                </c:pt>
                <c:pt idx="127">
                  <c:v>-1.7407312041219782</c:v>
                </c:pt>
                <c:pt idx="128">
                  <c:v>-3.1392165302089197</c:v>
                </c:pt>
                <c:pt idx="129">
                  <c:v>-2.6060356366459487</c:v>
                </c:pt>
                <c:pt idx="130">
                  <c:v>-0.84335279503103067</c:v>
                </c:pt>
                <c:pt idx="131">
                  <c:v>-1.0120163819875501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86861072"/>
        <c:axId val="1186868688"/>
      </c:barChart>
      <c:dateAx>
        <c:axId val="118686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Mês/ano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868688"/>
        <c:crosses val="autoZero"/>
        <c:auto val="1"/>
        <c:lblOffset val="100"/>
        <c:baseTimeUnit val="months"/>
      </c:dateAx>
      <c:valAx>
        <c:axId val="11868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Ganho/perda estimada (R$/saca)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8610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sz="1400">
          <a:solidFill>
            <a:schemeClr val="accent6">
              <a:lumMod val="50000"/>
            </a:schemeClr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v>Frete/Preço (%)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Base!$D$5:$D$136</c:f>
              <c:numCache>
                <c:formatCode>mmm\-yy</c:formatCode>
                <c:ptCount val="13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</c:numCache>
            </c:numRef>
          </c:cat>
          <c:val>
            <c:numRef>
              <c:f>Base!$W$5:$W$148</c:f>
              <c:numCache>
                <c:formatCode>0%</c:formatCode>
                <c:ptCount val="144"/>
                <c:pt idx="0">
                  <c:v>0.28493372765536495</c:v>
                </c:pt>
                <c:pt idx="1">
                  <c:v>0.26700307421964709</c:v>
                </c:pt>
                <c:pt idx="2">
                  <c:v>0.28317775519675276</c:v>
                </c:pt>
                <c:pt idx="3">
                  <c:v>0.29543292942306382</c:v>
                </c:pt>
                <c:pt idx="4">
                  <c:v>0.2676709824330028</c:v>
                </c:pt>
                <c:pt idx="5">
                  <c:v>0.26142720821816512</c:v>
                </c:pt>
                <c:pt idx="6">
                  <c:v>0.26654802844605963</c:v>
                </c:pt>
                <c:pt idx="7">
                  <c:v>0.2596324725026663</c:v>
                </c:pt>
                <c:pt idx="8">
                  <c:v>0.2372001112096401</c:v>
                </c:pt>
                <c:pt idx="9">
                  <c:v>0.24914373776728316</c:v>
                </c:pt>
                <c:pt idx="10">
                  <c:v>0.24868785879130281</c:v>
                </c:pt>
                <c:pt idx="11">
                  <c:v>0.18883340949990193</c:v>
                </c:pt>
                <c:pt idx="12">
                  <c:v>0.19765969485834192</c:v>
                </c:pt>
                <c:pt idx="13">
                  <c:v>0.20808785475148012</c:v>
                </c:pt>
                <c:pt idx="14">
                  <c:v>0.22484183803356012</c:v>
                </c:pt>
                <c:pt idx="15">
                  <c:v>0.190613521663964</c:v>
                </c:pt>
                <c:pt idx="16">
                  <c:v>0.20027636184308609</c:v>
                </c:pt>
                <c:pt idx="17">
                  <c:v>0.17765135422466533</c:v>
                </c:pt>
                <c:pt idx="18">
                  <c:v>0.181634973552774</c:v>
                </c:pt>
                <c:pt idx="19">
                  <c:v>0.20522785532035037</c:v>
                </c:pt>
                <c:pt idx="20">
                  <c:v>0.19500957830761181</c:v>
                </c:pt>
                <c:pt idx="21">
                  <c:v>0.19867645189537175</c:v>
                </c:pt>
                <c:pt idx="22">
                  <c:v>0.19840084529926735</c:v>
                </c:pt>
                <c:pt idx="23">
                  <c:v>0.20412903088688375</c:v>
                </c:pt>
                <c:pt idx="24">
                  <c:v>0.18874852429815775</c:v>
                </c:pt>
                <c:pt idx="25">
                  <c:v>0.21369842387529892</c:v>
                </c:pt>
                <c:pt idx="26">
                  <c:v>0.24745729890291546</c:v>
                </c:pt>
                <c:pt idx="27">
                  <c:v>0.22037978484877235</c:v>
                </c:pt>
                <c:pt idx="28">
                  <c:v>0.19820704929391186</c:v>
                </c:pt>
                <c:pt idx="29">
                  <c:v>0.20221445341560754</c:v>
                </c:pt>
                <c:pt idx="30">
                  <c:v>0.19955239273807765</c:v>
                </c:pt>
                <c:pt idx="31">
                  <c:v>0.18356074704287265</c:v>
                </c:pt>
                <c:pt idx="32">
                  <c:v>0.19747821185346484</c:v>
                </c:pt>
                <c:pt idx="33">
                  <c:v>0.22292504278867192</c:v>
                </c:pt>
                <c:pt idx="34">
                  <c:v>0.22795918329313961</c:v>
                </c:pt>
                <c:pt idx="35">
                  <c:v>0.23703637531093238</c:v>
                </c:pt>
                <c:pt idx="36">
                  <c:v>0.22656128323832381</c:v>
                </c:pt>
                <c:pt idx="37">
                  <c:v>0.30399086091330701</c:v>
                </c:pt>
                <c:pt idx="38">
                  <c:v>0.31923565913737617</c:v>
                </c:pt>
                <c:pt idx="39">
                  <c:v>0.31049508356672945</c:v>
                </c:pt>
                <c:pt idx="40">
                  <c:v>0.31080341034763082</c:v>
                </c:pt>
                <c:pt idx="41">
                  <c:v>0.29793036882705948</c:v>
                </c:pt>
                <c:pt idx="42">
                  <c:v>0.2703841310950531</c:v>
                </c:pt>
                <c:pt idx="43">
                  <c:v>0.26388446202948418</c:v>
                </c:pt>
                <c:pt idx="44">
                  <c:v>0.25169129190834133</c:v>
                </c:pt>
                <c:pt idx="45">
                  <c:v>0.24869263452365117</c:v>
                </c:pt>
                <c:pt idx="46">
                  <c:v>0.21282425282309622</c:v>
                </c:pt>
                <c:pt idx="47">
                  <c:v>0.21701654662898504</c:v>
                </c:pt>
                <c:pt idx="48">
                  <c:v>0.21283906061608171</c:v>
                </c:pt>
                <c:pt idx="49">
                  <c:v>0.20508425022020779</c:v>
                </c:pt>
                <c:pt idx="50">
                  <c:v>0.2261399974675776</c:v>
                </c:pt>
                <c:pt idx="51">
                  <c:v>0.23791540835588651</c:v>
                </c:pt>
                <c:pt idx="52">
                  <c:v>0.22094747291525785</c:v>
                </c:pt>
                <c:pt idx="53">
                  <c:v>0.22482673805978887</c:v>
                </c:pt>
                <c:pt idx="54">
                  <c:v>0.22753038997186079</c:v>
                </c:pt>
                <c:pt idx="55">
                  <c:v>0.23303551992850327</c:v>
                </c:pt>
                <c:pt idx="56">
                  <c:v>0.20733254714424895</c:v>
                </c:pt>
                <c:pt idx="57">
                  <c:v>0.21756137292561706</c:v>
                </c:pt>
                <c:pt idx="58">
                  <c:v>0.19265865539086149</c:v>
                </c:pt>
                <c:pt idx="59">
                  <c:v>0.18700921903488379</c:v>
                </c:pt>
                <c:pt idx="60">
                  <c:v>0.20473952378987689</c:v>
                </c:pt>
                <c:pt idx="61">
                  <c:v>0.203716031531636</c:v>
                </c:pt>
                <c:pt idx="62">
                  <c:v>0.21073412172974121</c:v>
                </c:pt>
                <c:pt idx="63">
                  <c:v>0.18882358463443089</c:v>
                </c:pt>
                <c:pt idx="64">
                  <c:v>0.17818072906884447</c:v>
                </c:pt>
                <c:pt idx="65">
                  <c:v>0.1562588459681972</c:v>
                </c:pt>
                <c:pt idx="66">
                  <c:v>0.14092494332690667</c:v>
                </c:pt>
                <c:pt idx="67">
                  <c:v>0.14007076368053706</c:v>
                </c:pt>
                <c:pt idx="68">
                  <c:v>0.15517153166236633</c:v>
                </c:pt>
                <c:pt idx="69">
                  <c:v>0.16906651281991433</c:v>
                </c:pt>
                <c:pt idx="70">
                  <c:v>0.16957391045738415</c:v>
                </c:pt>
                <c:pt idx="71">
                  <c:v>0.17682806744083024</c:v>
                </c:pt>
                <c:pt idx="72">
                  <c:v>0.18741447680561019</c:v>
                </c:pt>
                <c:pt idx="73">
                  <c:v>0.24543935891959129</c:v>
                </c:pt>
                <c:pt idx="74">
                  <c:v>0.26183829900454519</c:v>
                </c:pt>
                <c:pt idx="75">
                  <c:v>0.25609357214270995</c:v>
                </c:pt>
                <c:pt idx="76">
                  <c:v>0.21346203369201502</c:v>
                </c:pt>
                <c:pt idx="77">
                  <c:v>0.19585703602771387</c:v>
                </c:pt>
                <c:pt idx="78">
                  <c:v>0.20021369463360356</c:v>
                </c:pt>
                <c:pt idx="79">
                  <c:v>0.19924058200919861</c:v>
                </c:pt>
                <c:pt idx="80">
                  <c:v>0.19460872550094818</c:v>
                </c:pt>
                <c:pt idx="81">
                  <c:v>0.17701897132480304</c:v>
                </c:pt>
                <c:pt idx="82">
                  <c:v>0.16300973886349088</c:v>
                </c:pt>
                <c:pt idx="83">
                  <c:v>0.15367352952267863</c:v>
                </c:pt>
                <c:pt idx="84">
                  <c:v>0.13670441400585526</c:v>
                </c:pt>
                <c:pt idx="85">
                  <c:v>0.20520309159466418</c:v>
                </c:pt>
                <c:pt idx="86">
                  <c:v>0.20473859336401876</c:v>
                </c:pt>
                <c:pt idx="87">
                  <c:v>0.17952314284922169</c:v>
                </c:pt>
                <c:pt idx="88">
                  <c:v>0.16724270636950864</c:v>
                </c:pt>
                <c:pt idx="89">
                  <c:v>0.15781916433713788</c:v>
                </c:pt>
                <c:pt idx="90">
                  <c:v>0.17958643113712816</c:v>
                </c:pt>
                <c:pt idx="91">
                  <c:v>0.1818380005582706</c:v>
                </c:pt>
                <c:pt idx="92">
                  <c:v>0.19582426248924203</c:v>
                </c:pt>
                <c:pt idx="93">
                  <c:v>0.18916767301249907</c:v>
                </c:pt>
                <c:pt idx="94">
                  <c:v>0.18107690623227765</c:v>
                </c:pt>
                <c:pt idx="95">
                  <c:v>0.19316979178280005</c:v>
                </c:pt>
                <c:pt idx="96">
                  <c:v>0.20342166595017608</c:v>
                </c:pt>
                <c:pt idx="97">
                  <c:v>0.21063826347472231</c:v>
                </c:pt>
                <c:pt idx="98">
                  <c:v>0.21347989775880374</c:v>
                </c:pt>
                <c:pt idx="99">
                  <c:v>0.22588694217891572</c:v>
                </c:pt>
                <c:pt idx="100">
                  <c:v>0.2153552904693205</c:v>
                </c:pt>
                <c:pt idx="101">
                  <c:v>0.20838725332777946</c:v>
                </c:pt>
                <c:pt idx="102">
                  <c:v>0.20570366941720675</c:v>
                </c:pt>
                <c:pt idx="103">
                  <c:v>0.19511595517381472</c:v>
                </c:pt>
                <c:pt idx="104">
                  <c:v>0.18211849099525215</c:v>
                </c:pt>
                <c:pt idx="105">
                  <c:v>0.18725683963593834</c:v>
                </c:pt>
                <c:pt idx="106">
                  <c:v>0.19943516552223317</c:v>
                </c:pt>
                <c:pt idx="107">
                  <c:v>0.20018862252734684</c:v>
                </c:pt>
                <c:pt idx="108">
                  <c:v>0.18676409000652475</c:v>
                </c:pt>
                <c:pt idx="109">
                  <c:v>0.18894449633603261</c:v>
                </c:pt>
                <c:pt idx="110">
                  <c:v>0.19974919196499755</c:v>
                </c:pt>
                <c:pt idx="111">
                  <c:v>0.20559637766828984</c:v>
                </c:pt>
                <c:pt idx="112">
                  <c:v>0.15961402500788793</c:v>
                </c:pt>
                <c:pt idx="113">
                  <c:v>0.15800023569639923</c:v>
                </c:pt>
                <c:pt idx="114">
                  <c:v>0.16665957672510748</c:v>
                </c:pt>
                <c:pt idx="115">
                  <c:v>0.16447778376993827</c:v>
                </c:pt>
                <c:pt idx="116">
                  <c:v>0.14639877330439438</c:v>
                </c:pt>
                <c:pt idx="117">
                  <c:v>0.12747233423266255</c:v>
                </c:pt>
                <c:pt idx="118">
                  <c:v>0.1269430308672839</c:v>
                </c:pt>
                <c:pt idx="119">
                  <c:v>0.13086419354232917</c:v>
                </c:pt>
                <c:pt idx="120">
                  <c:v>0.16795716489113674</c:v>
                </c:pt>
                <c:pt idx="121">
                  <c:v>0.22027976171672276</c:v>
                </c:pt>
                <c:pt idx="122">
                  <c:v>0.2785054419994239</c:v>
                </c:pt>
                <c:pt idx="123">
                  <c:v>0.27440747493163176</c:v>
                </c:pt>
                <c:pt idx="124">
                  <c:v>0.24655293714270643</c:v>
                </c:pt>
                <c:pt idx="125">
                  <c:v>0.25623648970627844</c:v>
                </c:pt>
                <c:pt idx="126">
                  <c:v>0.23629256588401246</c:v>
                </c:pt>
                <c:pt idx="127">
                  <c:v>0.24250228261909401</c:v>
                </c:pt>
                <c:pt idx="128">
                  <c:v>0.25902699771468418</c:v>
                </c:pt>
                <c:pt idx="129">
                  <c:v>0.25297993882691616</c:v>
                </c:pt>
                <c:pt idx="130">
                  <c:v>0.24432516583186675</c:v>
                </c:pt>
                <c:pt idx="131">
                  <c:v>0.24114239525798192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86863792"/>
        <c:axId val="1186869776"/>
      </c:barChart>
      <c:lineChart>
        <c:grouping val="standard"/>
        <c:varyColors val="0"/>
        <c:ser>
          <c:idx val="0"/>
          <c:order val="0"/>
          <c:tx>
            <c:v>Preço (R$/saca)</c:v>
          </c:tx>
          <c:spPr>
            <a:ln w="76200" cap="rnd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Base!$D$5:$D$136</c:f>
              <c:numCache>
                <c:formatCode>mmm\-yy</c:formatCode>
                <c:ptCount val="13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</c:numCache>
            </c:numRef>
          </c:cat>
          <c:val>
            <c:numRef>
              <c:f>Base!$F$5:$F$136</c:f>
              <c:numCache>
                <c:formatCode>_(* #,##0.00_);_(* \(#,##0.00\);_(* "-"??_);_(@_)</c:formatCode>
                <c:ptCount val="132"/>
                <c:pt idx="0">
                  <c:v>33.676363636363639</c:v>
                </c:pt>
                <c:pt idx="1">
                  <c:v>34.709444444444451</c:v>
                </c:pt>
                <c:pt idx="2">
                  <c:v>34.005909090909093</c:v>
                </c:pt>
                <c:pt idx="3">
                  <c:v>31.955999999999996</c:v>
                </c:pt>
                <c:pt idx="4">
                  <c:v>32.123636363636365</c:v>
                </c:pt>
                <c:pt idx="5">
                  <c:v>32.942999999999998</c:v>
                </c:pt>
                <c:pt idx="6">
                  <c:v>33.651818181818186</c:v>
                </c:pt>
                <c:pt idx="7">
                  <c:v>37.106086956521743</c:v>
                </c:pt>
                <c:pt idx="8">
                  <c:v>41.301578947368419</c:v>
                </c:pt>
                <c:pt idx="9">
                  <c:v>42.197272727272718</c:v>
                </c:pt>
                <c:pt idx="10">
                  <c:v>42.96</c:v>
                </c:pt>
                <c:pt idx="11">
                  <c:v>44.029444444444451</c:v>
                </c:pt>
                <c:pt idx="12">
                  <c:v>47.927727272727275</c:v>
                </c:pt>
                <c:pt idx="13">
                  <c:v>49.993684210526311</c:v>
                </c:pt>
                <c:pt idx="14">
                  <c:v>48.061</c:v>
                </c:pt>
                <c:pt idx="15">
                  <c:v>46.722380952380945</c:v>
                </c:pt>
                <c:pt idx="16">
                  <c:v>46.654000000000011</c:v>
                </c:pt>
                <c:pt idx="17">
                  <c:v>52.353333333333325</c:v>
                </c:pt>
                <c:pt idx="18">
                  <c:v>52.961739130434779</c:v>
                </c:pt>
                <c:pt idx="19">
                  <c:v>46.838571428571427</c:v>
                </c:pt>
                <c:pt idx="20">
                  <c:v>48.140909090909084</c:v>
                </c:pt>
                <c:pt idx="21">
                  <c:v>46.653478260869562</c:v>
                </c:pt>
                <c:pt idx="22">
                  <c:v>47.320499999999996</c:v>
                </c:pt>
                <c:pt idx="23">
                  <c:v>46.731999999999992</c:v>
                </c:pt>
                <c:pt idx="24">
                  <c:v>51.01761904761905</c:v>
                </c:pt>
                <c:pt idx="25">
                  <c:v>49.236111111111107</c:v>
                </c:pt>
                <c:pt idx="26">
                  <c:v>47.665000000000006</c:v>
                </c:pt>
                <c:pt idx="27">
                  <c:v>50.160499999999999</c:v>
                </c:pt>
                <c:pt idx="28">
                  <c:v>52.781000000000006</c:v>
                </c:pt>
                <c:pt idx="29">
                  <c:v>52.368095238095236</c:v>
                </c:pt>
                <c:pt idx="30">
                  <c:v>49.935217391304334</c:v>
                </c:pt>
                <c:pt idx="31">
                  <c:v>50.058095238095241</c:v>
                </c:pt>
                <c:pt idx="32">
                  <c:v>46.266666666666666</c:v>
                </c:pt>
                <c:pt idx="33">
                  <c:v>43.962380952380947</c:v>
                </c:pt>
                <c:pt idx="34">
                  <c:v>42.012</c:v>
                </c:pt>
                <c:pt idx="35">
                  <c:v>41.386000000000003</c:v>
                </c:pt>
                <c:pt idx="36">
                  <c:v>40.216500000000003</c:v>
                </c:pt>
                <c:pt idx="37">
                  <c:v>38.241111111111117</c:v>
                </c:pt>
                <c:pt idx="38">
                  <c:v>37.383913043478266</c:v>
                </c:pt>
                <c:pt idx="39">
                  <c:v>37.433999999999997</c:v>
                </c:pt>
                <c:pt idx="40">
                  <c:v>38.397619047619045</c:v>
                </c:pt>
                <c:pt idx="41">
                  <c:v>38.908095238095243</c:v>
                </c:pt>
                <c:pt idx="42">
                  <c:v>41.365909090909092</c:v>
                </c:pt>
                <c:pt idx="43">
                  <c:v>43.834545454545449</c:v>
                </c:pt>
                <c:pt idx="44">
                  <c:v>44.748095238095239</c:v>
                </c:pt>
                <c:pt idx="45">
                  <c:v>45.721500000000006</c:v>
                </c:pt>
                <c:pt idx="46">
                  <c:v>49.173000000000002</c:v>
                </c:pt>
                <c:pt idx="47">
                  <c:v>49.589999999999996</c:v>
                </c:pt>
                <c:pt idx="48">
                  <c:v>50.779523809523802</c:v>
                </c:pt>
                <c:pt idx="49">
                  <c:v>51.389499999999998</c:v>
                </c:pt>
                <c:pt idx="50">
                  <c:v>49.544761904761906</c:v>
                </c:pt>
                <c:pt idx="51">
                  <c:v>47.188421052631583</c:v>
                </c:pt>
                <c:pt idx="52">
                  <c:v>47.829999999999991</c:v>
                </c:pt>
                <c:pt idx="53">
                  <c:v>47.87952380952381</c:v>
                </c:pt>
                <c:pt idx="54">
                  <c:v>48.502380952380953</c:v>
                </c:pt>
                <c:pt idx="55">
                  <c:v>49.383478260869573</c:v>
                </c:pt>
                <c:pt idx="56">
                  <c:v>51.936666666666682</c:v>
                </c:pt>
                <c:pt idx="57">
                  <c:v>48.468500000000013</c:v>
                </c:pt>
                <c:pt idx="58">
                  <c:v>47.736500000000014</c:v>
                </c:pt>
                <c:pt idx="59">
                  <c:v>47.699047619047619</c:v>
                </c:pt>
                <c:pt idx="60">
                  <c:v>49.552272727272729</c:v>
                </c:pt>
                <c:pt idx="61">
                  <c:v>49.324210526315781</c:v>
                </c:pt>
                <c:pt idx="62">
                  <c:v>54.926818181818163</c:v>
                </c:pt>
                <c:pt idx="63">
                  <c:v>60.345000000000006</c:v>
                </c:pt>
                <c:pt idx="64">
                  <c:v>63.788636363636378</c:v>
                </c:pt>
                <c:pt idx="65">
                  <c:v>68.05</c:v>
                </c:pt>
                <c:pt idx="66">
                  <c:v>79.355909090909094</c:v>
                </c:pt>
                <c:pt idx="67">
                  <c:v>85.575217391304349</c:v>
                </c:pt>
                <c:pt idx="68">
                  <c:v>86.823157894736852</c:v>
                </c:pt>
                <c:pt idx="69">
                  <c:v>75.73</c:v>
                </c:pt>
                <c:pt idx="70">
                  <c:v>75.73</c:v>
                </c:pt>
                <c:pt idx="71">
                  <c:v>75.73</c:v>
                </c:pt>
                <c:pt idx="72">
                  <c:v>71.992727272727265</c:v>
                </c:pt>
                <c:pt idx="73">
                  <c:v>64.007777777777775</c:v>
                </c:pt>
                <c:pt idx="74">
                  <c:v>61.838000000000001</c:v>
                </c:pt>
                <c:pt idx="75">
                  <c:v>59.449545454545451</c:v>
                </c:pt>
                <c:pt idx="76">
                  <c:v>61.887619047619054</c:v>
                </c:pt>
                <c:pt idx="77">
                  <c:v>68.724000000000018</c:v>
                </c:pt>
                <c:pt idx="78">
                  <c:v>69.318695652173901</c:v>
                </c:pt>
                <c:pt idx="79">
                  <c:v>69.884090909090901</c:v>
                </c:pt>
                <c:pt idx="80">
                  <c:v>73.469523809523835</c:v>
                </c:pt>
                <c:pt idx="81">
                  <c:v>73.839130434782618</c:v>
                </c:pt>
                <c:pt idx="82">
                  <c:v>76.349999999999994</c:v>
                </c:pt>
                <c:pt idx="83">
                  <c:v>77.25</c:v>
                </c:pt>
                <c:pt idx="84">
                  <c:v>72.291818181818201</c:v>
                </c:pt>
                <c:pt idx="85">
                  <c:v>69.712999999999994</c:v>
                </c:pt>
                <c:pt idx="86">
                  <c:v>72.269473684210524</c:v>
                </c:pt>
                <c:pt idx="87">
                  <c:v>71.111000000000004</c:v>
                </c:pt>
                <c:pt idx="88">
                  <c:v>70.742857142857147</c:v>
                </c:pt>
                <c:pt idx="89">
                  <c:v>70.85799999999999</c:v>
                </c:pt>
                <c:pt idx="90">
                  <c:v>67.297826086956505</c:v>
                </c:pt>
                <c:pt idx="91">
                  <c:v>67.105714285714299</c:v>
                </c:pt>
                <c:pt idx="92">
                  <c:v>63.063181818181825</c:v>
                </c:pt>
                <c:pt idx="93">
                  <c:v>61.170000000000016</c:v>
                </c:pt>
                <c:pt idx="94">
                  <c:v>61.17</c:v>
                </c:pt>
                <c:pt idx="95">
                  <c:v>61.17</c:v>
                </c:pt>
                <c:pt idx="96">
                  <c:v>61.143333333333324</c:v>
                </c:pt>
                <c:pt idx="97">
                  <c:v>63.717777777777769</c:v>
                </c:pt>
                <c:pt idx="98">
                  <c:v>67.900454545454537</c:v>
                </c:pt>
                <c:pt idx="99">
                  <c:v>69.525999999999982</c:v>
                </c:pt>
                <c:pt idx="100">
                  <c:v>66.608500000000006</c:v>
                </c:pt>
                <c:pt idx="101">
                  <c:v>67.876666666666665</c:v>
                </c:pt>
                <c:pt idx="102">
                  <c:v>72.892608695652186</c:v>
                </c:pt>
                <c:pt idx="103">
                  <c:v>77.329523809523806</c:v>
                </c:pt>
                <c:pt idx="104">
                  <c:v>81.345238095238102</c:v>
                </c:pt>
                <c:pt idx="105">
                  <c:v>81.977619047619058</c:v>
                </c:pt>
                <c:pt idx="106">
                  <c:v>79.972999999999999</c:v>
                </c:pt>
                <c:pt idx="107">
                  <c:v>80.757999999999996</c:v>
                </c:pt>
                <c:pt idx="108">
                  <c:v>82.746000000000009</c:v>
                </c:pt>
                <c:pt idx="109">
                  <c:v>77.829473684210527</c:v>
                </c:pt>
                <c:pt idx="110">
                  <c:v>74.527727272727262</c:v>
                </c:pt>
                <c:pt idx="111">
                  <c:v>78.042500000000018</c:v>
                </c:pt>
                <c:pt idx="112">
                  <c:v>86.425238095238086</c:v>
                </c:pt>
                <c:pt idx="113">
                  <c:v>95.188181818181832</c:v>
                </c:pt>
                <c:pt idx="114">
                  <c:v>87.464285714285708</c:v>
                </c:pt>
                <c:pt idx="115">
                  <c:v>81.692173913043476</c:v>
                </c:pt>
                <c:pt idx="116">
                  <c:v>79.499999999999986</c:v>
                </c:pt>
                <c:pt idx="117">
                  <c:v>76.703499999999991</c:v>
                </c:pt>
                <c:pt idx="118">
                  <c:v>78.272500000000008</c:v>
                </c:pt>
                <c:pt idx="119">
                  <c:v>78.429047619047623</c:v>
                </c:pt>
                <c:pt idx="120">
                  <c:v>76.033636363636347</c:v>
                </c:pt>
                <c:pt idx="121">
                  <c:v>73.86166666666665</c:v>
                </c:pt>
                <c:pt idx="122">
                  <c:v>70.006086956521727</c:v>
                </c:pt>
                <c:pt idx="123">
                  <c:v>65.819999999999993</c:v>
                </c:pt>
                <c:pt idx="124">
                  <c:v>68.936818181818182</c:v>
                </c:pt>
                <c:pt idx="125">
                  <c:v>68.950952380952373</c:v>
                </c:pt>
                <c:pt idx="126">
                  <c:v>72.240952380952393</c:v>
                </c:pt>
                <c:pt idx="127">
                  <c:v>69.826521739130428</c:v>
                </c:pt>
                <c:pt idx="128">
                  <c:v>70.41</c:v>
                </c:pt>
                <c:pt idx="129">
                  <c:v>71.459999999999994</c:v>
                </c:pt>
                <c:pt idx="130">
                  <c:v>73.87</c:v>
                </c:pt>
                <c:pt idx="131">
                  <c:v>74.23</c:v>
                </c:pt>
              </c:numCache>
            </c:numRef>
          </c:val>
          <c:smooth val="0"/>
        </c:ser>
        <c:ser>
          <c:idx val="1"/>
          <c:order val="1"/>
          <c:tx>
            <c:v>Frete (R$/saca)</c:v>
          </c:tx>
          <c:spPr>
            <a:ln w="38100" cap="rnd">
              <a:solidFill>
                <a:srgbClr val="920000"/>
              </a:solidFill>
              <a:round/>
            </a:ln>
            <a:effectLst/>
          </c:spPr>
          <c:marker>
            <c:symbol val="none"/>
          </c:marker>
          <c:cat>
            <c:numRef>
              <c:f>Base!$D$5:$D$136</c:f>
              <c:numCache>
                <c:formatCode>mmm\-yy</c:formatCode>
                <c:ptCount val="13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</c:numCache>
            </c:numRef>
          </c:cat>
          <c:val>
            <c:numRef>
              <c:f>Base!$L$5:$L$136</c:f>
              <c:numCache>
                <c:formatCode>General</c:formatCode>
                <c:ptCount val="132"/>
                <c:pt idx="0">
                  <c:v>9.5955318247866739</c:v>
                </c:pt>
                <c:pt idx="1">
                  <c:v>9.2675283711227188</c:v>
                </c:pt>
                <c:pt idx="2">
                  <c:v>9.6297169997884833</c:v>
                </c:pt>
                <c:pt idx="3">
                  <c:v>9.4408546926434269</c:v>
                </c:pt>
                <c:pt idx="4">
                  <c:v>8.5985653047750787</c:v>
                </c:pt>
                <c:pt idx="5">
                  <c:v>8.6121965203310129</c:v>
                </c:pt>
                <c:pt idx="6">
                  <c:v>8.9698257899889011</c:v>
                </c:pt>
                <c:pt idx="7">
                  <c:v>9.6339451014206752</c:v>
                </c:pt>
                <c:pt idx="8">
                  <c:v>9.7967391194495193</c:v>
                </c:pt>
                <c:pt idx="9">
                  <c:v>10.513186250858164</c:v>
                </c:pt>
                <c:pt idx="10">
                  <c:v>10.683630413674368</c:v>
                </c:pt>
                <c:pt idx="11">
                  <c:v>8.3142301128309608</c:v>
                </c:pt>
                <c:pt idx="12">
                  <c:v>9.4733799479811047</c:v>
                </c:pt>
                <c:pt idx="13">
                  <c:v>10.403078498491364</c:v>
                </c:pt>
                <c:pt idx="14">
                  <c:v>10.806123577730933</c:v>
                </c:pt>
                <c:pt idx="15">
                  <c:v>8.9059175738586447</c:v>
                </c:pt>
                <c:pt idx="16">
                  <c:v>9.3436933854273398</c:v>
                </c:pt>
                <c:pt idx="17">
                  <c:v>9.3006405648419772</c:v>
                </c:pt>
                <c:pt idx="18">
                  <c:v>9.6197040862654362</c:v>
                </c:pt>
                <c:pt idx="19">
                  <c:v>9.612579560554753</c:v>
                </c:pt>
                <c:pt idx="20">
                  <c:v>9.3879383811632557</c:v>
                </c:pt>
                <c:pt idx="21">
                  <c:v>9.2689475294474235</c:v>
                </c:pt>
                <c:pt idx="22">
                  <c:v>9.3884271999839797</c:v>
                </c:pt>
                <c:pt idx="23">
                  <c:v>9.5393578714058496</c:v>
                </c:pt>
                <c:pt idx="24">
                  <c:v>9.6295003084436797</c:v>
                </c:pt>
                <c:pt idx="25">
                  <c:v>10.521679342193536</c:v>
                </c:pt>
                <c:pt idx="26">
                  <c:v>11.795052152207466</c:v>
                </c:pt>
                <c:pt idx="27">
                  <c:v>11.054360197906846</c:v>
                </c:pt>
                <c:pt idx="28">
                  <c:v>10.461566268781963</c:v>
                </c:pt>
                <c:pt idx="29">
                  <c:v>10.589585754987908</c:v>
                </c:pt>
                <c:pt idx="30">
                  <c:v>9.9646921123308481</c:v>
                </c:pt>
                <c:pt idx="31">
                  <c:v>9.1887013574480285</c:v>
                </c:pt>
                <c:pt idx="32">
                  <c:v>9.1366586017536395</c:v>
                </c:pt>
                <c:pt idx="33">
                  <c:v>9.8003156549014179</c:v>
                </c:pt>
                <c:pt idx="34">
                  <c:v>9.5770212085113808</c:v>
                </c:pt>
                <c:pt idx="35">
                  <c:v>9.809987428618248</c:v>
                </c:pt>
                <c:pt idx="36">
                  <c:v>9.1115018473540506</c:v>
                </c:pt>
                <c:pt idx="37">
                  <c:v>11.624948288948099</c:v>
                </c:pt>
                <c:pt idx="38">
                  <c:v>11.93427812156914</c:v>
                </c:pt>
                <c:pt idx="39">
                  <c:v>11.62307295823695</c:v>
                </c:pt>
                <c:pt idx="40">
                  <c:v>11.934110949229147</c:v>
                </c:pt>
                <c:pt idx="41">
                  <c:v>11.591903164644071</c:v>
                </c:pt>
                <c:pt idx="42">
                  <c:v>11.184685386502414</c:v>
                </c:pt>
                <c:pt idx="43">
                  <c:v>11.567255445579697</c:v>
                </c:pt>
                <c:pt idx="44">
                  <c:v>11.262705900913687</c:v>
                </c:pt>
                <c:pt idx="45">
                  <c:v>11.370600289373119</c:v>
                </c:pt>
                <c:pt idx="46">
                  <c:v>10.465206984070111</c:v>
                </c:pt>
                <c:pt idx="47">
                  <c:v>10.761850547331367</c:v>
                </c:pt>
                <c:pt idx="48">
                  <c:v>10.807866146151001</c:v>
                </c:pt>
                <c:pt idx="49">
                  <c:v>10.539177076691368</c:v>
                </c:pt>
                <c:pt idx="50">
                  <c:v>11.204052331674593</c:v>
                </c:pt>
                <c:pt idx="51">
                  <c:v>11.226852464406354</c:v>
                </c:pt>
                <c:pt idx="52">
                  <c:v>10.567917629536781</c:v>
                </c:pt>
                <c:pt idx="53">
                  <c:v>10.764597157951235</c:v>
                </c:pt>
                <c:pt idx="54">
                  <c:v>11.035765652658991</c:v>
                </c:pt>
                <c:pt idx="55">
                  <c:v>11.508104532399679</c:v>
                </c:pt>
                <c:pt idx="56">
                  <c:v>10.768161390181813</c:v>
                </c:pt>
                <c:pt idx="57">
                  <c:v>10.544873403645273</c:v>
                </c:pt>
                <c:pt idx="58">
                  <c:v>9.1968499030658624</c:v>
                </c:pt>
                <c:pt idx="59">
                  <c:v>8.9201616439458284</c:v>
                </c:pt>
                <c:pt idx="60">
                  <c:v>10.145308720887924</c:v>
                </c:pt>
                <c:pt idx="61">
                  <c:v>10.048132426851998</c:v>
                </c:pt>
                <c:pt idx="62">
                  <c:v>11.574954788954631</c:v>
                </c:pt>
                <c:pt idx="63">
                  <c:v>11.394559214764733</c:v>
                </c:pt>
                <c:pt idx="64">
                  <c:v>11.365905733580133</c:v>
                </c:pt>
                <c:pt idx="65">
                  <c:v>10.633414468135818</c:v>
                </c:pt>
                <c:pt idx="66">
                  <c:v>11.183226991291521</c:v>
                </c:pt>
                <c:pt idx="67">
                  <c:v>11.986586052127976</c:v>
                </c:pt>
                <c:pt idx="68">
                  <c:v>13.472482394289791</c:v>
                </c:pt>
                <c:pt idx="69">
                  <c:v>12.803407015852112</c:v>
                </c:pt>
                <c:pt idx="70">
                  <c:v>12.841832238937704</c:v>
                </c:pt>
                <c:pt idx="71">
                  <c:v>13.391189547294074</c:v>
                </c:pt>
                <c:pt idx="72">
                  <c:v>13.492479315627165</c:v>
                </c:pt>
                <c:pt idx="73">
                  <c:v>15.710027943645439</c:v>
                </c:pt>
                <c:pt idx="74">
                  <c:v>16.191556733843065</c:v>
                </c:pt>
                <c:pt idx="75">
                  <c:v>15.22464645771495</c:v>
                </c:pt>
                <c:pt idx="76">
                  <c:v>13.210657022261449</c:v>
                </c:pt>
                <c:pt idx="77">
                  <c:v>13.460078943968611</c:v>
                </c:pt>
                <c:pt idx="78">
                  <c:v>13.878552163704049</c:v>
                </c:pt>
                <c:pt idx="79">
                  <c:v>13.923746945911017</c:v>
                </c:pt>
                <c:pt idx="80">
                  <c:v>14.297810391733</c:v>
                </c:pt>
                <c:pt idx="81">
                  <c:v>13.070926913083175</c:v>
                </c:pt>
                <c:pt idx="82">
                  <c:v>12.445793562227527</c:v>
                </c:pt>
                <c:pt idx="83">
                  <c:v>11.871280155626923</c:v>
                </c:pt>
                <c:pt idx="84">
                  <c:v>9.8826106419632893</c:v>
                </c:pt>
                <c:pt idx="85">
                  <c:v>14.305323124338823</c:v>
                </c:pt>
                <c:pt idx="86">
                  <c:v>14.796350385263233</c:v>
                </c:pt>
                <c:pt idx="87">
                  <c:v>12.766070211151003</c:v>
                </c:pt>
                <c:pt idx="88">
                  <c:v>11.831226884882955</c:v>
                </c:pt>
                <c:pt idx="89">
                  <c:v>11.182750346600915</c:v>
                </c:pt>
                <c:pt idx="90">
                  <c:v>12.085776410243641</c:v>
                </c:pt>
                <c:pt idx="91">
                  <c:v>12.202368911748863</c:v>
                </c:pt>
                <c:pt idx="92">
                  <c:v>12.349301069770434</c:v>
                </c:pt>
                <c:pt idx="93">
                  <c:v>11.57138655817457</c:v>
                </c:pt>
                <c:pt idx="94">
                  <c:v>11.076474354228424</c:v>
                </c:pt>
                <c:pt idx="95">
                  <c:v>11.816196163353879</c:v>
                </c:pt>
                <c:pt idx="96">
                  <c:v>12.437878728413597</c:v>
                </c:pt>
                <c:pt idx="97">
                  <c:v>13.421402063579359</c:v>
                </c:pt>
                <c:pt idx="98">
                  <c:v>14.495382094139936</c:v>
                </c:pt>
                <c:pt idx="99">
                  <c:v>15.70501554193129</c:v>
                </c:pt>
                <c:pt idx="100">
                  <c:v>14.344492865225735</c:v>
                </c:pt>
                <c:pt idx="101">
                  <c:v>14.14463213171191</c:v>
                </c:pt>
                <c:pt idx="102">
                  <c:v>14.994277082088248</c:v>
                </c:pt>
                <c:pt idx="103">
                  <c:v>15.088223901231485</c:v>
                </c:pt>
                <c:pt idx="104">
                  <c:v>14.814472011554262</c:v>
                </c:pt>
                <c:pt idx="105">
                  <c:v>15.350869863736046</c:v>
                </c:pt>
                <c:pt idx="106">
                  <c:v>15.949428492309552</c:v>
                </c:pt>
                <c:pt idx="107">
                  <c:v>16.166832778063476</c:v>
                </c:pt>
                <c:pt idx="108">
                  <c:v>15.453981391679898</c:v>
                </c:pt>
                <c:pt idx="109">
                  <c:v>14.705450705361661</c:v>
                </c:pt>
                <c:pt idx="110">
                  <c:v>14.88685330171498</c:v>
                </c:pt>
                <c:pt idx="111">
                  <c:v>16.045255304177513</c:v>
                </c:pt>
                <c:pt idx="112">
                  <c:v>13.794680114646001</c:v>
                </c:pt>
                <c:pt idx="113">
                  <c:v>15.039755162784434</c:v>
                </c:pt>
                <c:pt idx="114">
                  <c:v>14.57676083570672</c:v>
                </c:pt>
                <c:pt idx="115">
                  <c:v>13.436547716565757</c:v>
                </c:pt>
                <c:pt idx="116">
                  <c:v>11.638702477699351</c:v>
                </c:pt>
                <c:pt idx="117">
                  <c:v>9.7775741888150307</c:v>
                </c:pt>
                <c:pt idx="118">
                  <c:v>9.9361483835594804</c:v>
                </c:pt>
                <c:pt idx="119">
                  <c:v>10.2635540669596</c:v>
                </c:pt>
                <c:pt idx="120">
                  <c:v>12.770394</c:v>
                </c:pt>
                <c:pt idx="121">
                  <c:v>16.270230333333334</c:v>
                </c:pt>
                <c:pt idx="122">
                  <c:v>19.497076190476189</c:v>
                </c:pt>
                <c:pt idx="123">
                  <c:v>18.061499999999999</c:v>
                </c:pt>
                <c:pt idx="124">
                  <c:v>16.996575</c:v>
                </c:pt>
                <c:pt idx="125">
                  <c:v>17.667749999999998</c:v>
                </c:pt>
                <c:pt idx="126">
                  <c:v>17.07</c:v>
                </c:pt>
                <c:pt idx="127">
                  <c:v>16.933090909090918</c:v>
                </c:pt>
                <c:pt idx="128">
                  <c:v>18.238090909090911</c:v>
                </c:pt>
                <c:pt idx="129">
                  <c:v>18.077946428571426</c:v>
                </c:pt>
                <c:pt idx="130">
                  <c:v>18.048299999999998</c:v>
                </c:pt>
                <c:pt idx="131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60528"/>
        <c:axId val="1186865968"/>
      </c:lineChart>
      <c:dateAx>
        <c:axId val="11868605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Mês/ano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mmm\-yy" sourceLinked="1"/>
        <c:majorTickMark val="none"/>
        <c:minorTickMark val="none"/>
        <c:tickLblPos val="low"/>
        <c:crossAx val="1186865968"/>
        <c:crosses val="autoZero"/>
        <c:auto val="1"/>
        <c:lblOffset val="100"/>
        <c:baseTimeUnit val="months"/>
      </c:dateAx>
      <c:valAx>
        <c:axId val="11868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Preço e Frete (R$/saca)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860528"/>
        <c:crosses val="autoZero"/>
        <c:crossBetween val="between"/>
      </c:valAx>
      <c:valAx>
        <c:axId val="1186869776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Índice</a:t>
                </a:r>
                <a:r>
                  <a:rPr lang="pt-BR" b="1" baseline="0"/>
                  <a:t> - Frete/Preço (%)</a:t>
                </a:r>
                <a:endParaRPr lang="pt-B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863792"/>
        <c:crosses val="max"/>
        <c:crossBetween val="between"/>
      </c:valAx>
      <c:dateAx>
        <c:axId val="1186863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86977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sz="1400">
          <a:solidFill>
            <a:schemeClr val="accent6">
              <a:lumMod val="50000"/>
            </a:schemeClr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esalqlog.esalq.usp.br/sistema-de-informacoes-de-armazenagem-siarma-2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esalqlog.esalq.usp.b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chart" Target="../charts/chart2.xml"/><Relationship Id="rId2" Type="http://schemas.openxmlformats.org/officeDocument/2006/relationships/hyperlink" Target="http://esalqlog.esalq.usp.br/sistema-de-informacoes-de-armazenagem-siarma-2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http://esalqlog.esalq.usp.br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100971</xdr:colOff>
      <xdr:row>0</xdr:row>
      <xdr:rowOff>90374</xdr:rowOff>
    </xdr:from>
    <xdr:to>
      <xdr:col>1</xdr:col>
      <xdr:colOff>979954</xdr:colOff>
      <xdr:row>3</xdr:row>
      <xdr:rowOff>137079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445189</xdr:colOff>
      <xdr:row>0</xdr:row>
      <xdr:rowOff>57709</xdr:rowOff>
    </xdr:from>
    <xdr:to>
      <xdr:col>15</xdr:col>
      <xdr:colOff>238515</xdr:colOff>
      <xdr:row>3</xdr:row>
      <xdr:rowOff>158562</xdr:rowOff>
    </xdr:to>
    <xdr:pic>
      <xdr:nvPicPr>
        <xdr:cNvPr id="3" name="Imagem 2" descr="Resultado de imagem para ESAL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8483" y="57709"/>
          <a:ext cx="454473" cy="6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328997</xdr:colOff>
      <xdr:row>0</xdr:row>
      <xdr:rowOff>182182</xdr:rowOff>
    </xdr:from>
    <xdr:to>
      <xdr:col>14</xdr:col>
      <xdr:colOff>206082</xdr:colOff>
      <xdr:row>2</xdr:row>
      <xdr:rowOff>168089</xdr:rowOff>
    </xdr:to>
    <xdr:pic>
      <xdr:nvPicPr>
        <xdr:cNvPr id="4" name="Imagem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2056" y="182182"/>
          <a:ext cx="1087321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15</xdr:col>
      <xdr:colOff>22412</xdr:colOff>
      <xdr:row>15</xdr:row>
      <xdr:rowOff>168088</xdr:rowOff>
    </xdr:to>
    <xdr:sp macro="" textlink="">
      <xdr:nvSpPr>
        <xdr:cNvPr id="7" name="CaixaDeTexto 6"/>
        <xdr:cNvSpPr txBox="1"/>
      </xdr:nvSpPr>
      <xdr:spPr>
        <a:xfrm>
          <a:off x="347382" y="851647"/>
          <a:ext cx="13872883" cy="2521323"/>
        </a:xfrm>
        <a:prstGeom prst="rect">
          <a:avLst/>
        </a:prstGeom>
        <a:solidFill>
          <a:schemeClr val="bg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600" b="0">
              <a:solidFill>
                <a:schemeClr val="accent6">
                  <a:lumMod val="50000"/>
                </a:schemeClr>
              </a:solidFill>
              <a:latin typeface="+mn-lt"/>
            </a:rPr>
            <a:t>Este</a:t>
          </a:r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 material consolida dez anos de análises que foram desenvolvidas pelo Grupo ESALQ-LOG, no Projeto SIARMA.</a:t>
          </a:r>
        </a:p>
        <a:p>
          <a:pPr algn="l"/>
          <a:endParaRPr lang="pt-BR" sz="1600" b="0" baseline="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"</a:t>
          </a:r>
          <a:r>
            <a:rPr lang="pt-BR" sz="1600" b="0" i="1" baseline="0">
              <a:solidFill>
                <a:schemeClr val="accent6">
                  <a:lumMod val="50000"/>
                </a:schemeClr>
              </a:solidFill>
              <a:latin typeface="+mn-lt"/>
            </a:rPr>
            <a:t>Vale a pena armazenar a produção para vendê-la na entressafra? É possível obter receitas superiores, mesmo com os custos de armazenagem?</a:t>
          </a:r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" . Produtores e exportadores brasileiros têm se deparado com esse tipo de questionamento de forma frequente nos últimos anos.</a:t>
          </a:r>
        </a:p>
        <a:p>
          <a:pPr algn="l"/>
          <a:endParaRPr lang="pt-BR" sz="1600" b="0" baseline="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Tendo como a localidade de análise o município de Sorriso (MT), essa planilha eletrônica permite  identificar, entre os anos de 2007 e 2016, quais foram as melhores estratégias de comercialização por parte dos produtores dessa região.  Em suma, a análise mostra que a utilização da armazenagem permite  aos produtores a obtenção de receitas adicionais, em comparação com um cenário de venda da produção no momento da colheita. Porém, tal benefício não ocorreu em todo o período analisado.</a:t>
          </a:r>
          <a:endParaRPr lang="pt-BR" sz="1600" b="0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22412</xdr:colOff>
      <xdr:row>29</xdr:row>
      <xdr:rowOff>123264</xdr:rowOff>
    </xdr:to>
    <xdr:sp macro="" textlink="">
      <xdr:nvSpPr>
        <xdr:cNvPr id="8" name="CaixaDeTexto 7"/>
        <xdr:cNvSpPr txBox="1"/>
      </xdr:nvSpPr>
      <xdr:spPr>
        <a:xfrm>
          <a:off x="347382" y="3440206"/>
          <a:ext cx="13872883" cy="318247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O </a:t>
          </a:r>
          <a:r>
            <a:rPr lang="pt-BR" sz="1600" b="1">
              <a:solidFill>
                <a:schemeClr val="accent6">
                  <a:lumMod val="50000"/>
                </a:schemeClr>
              </a:solidFill>
              <a:latin typeface="+mn-lt"/>
            </a:rPr>
            <a:t>SIARMA </a:t>
          </a:r>
          <a:r>
            <a:rPr lang="pt-BR" sz="1600" b="0">
              <a:solidFill>
                <a:schemeClr val="accent6">
                  <a:lumMod val="50000"/>
                </a:schemeClr>
              </a:solidFill>
              <a:latin typeface="+mn-lt"/>
            </a:rPr>
            <a:t>- Sistema de Informações de Armazenagem </a:t>
          </a:r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- é um projeto do ESALQ-LOG que envolve pesquisas sobre as principais características do armazenamento de cargas, com destaque para produtos agrícolas. A partir do levantamento sistêmico de dados primários, análise de custos de armazenagem e informações quantitativas e qualitativas sobre o mercado agrícola, o SIARMA gera informações que, de maneira integrada com o SIFRECA, tem se mostrado essenciais para o dimensionamento de projetos logísticos voltados aos complexos agroindustriais. </a:t>
          </a:r>
        </a:p>
        <a:p>
          <a:pPr algn="l"/>
          <a:endParaRPr lang="pt-BR" sz="160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Dentre os  produtos desenvolvidos pelo SIARMA, destacam-se: </a:t>
          </a: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 (i) Levantamento das tarifas de armazenagem;</a:t>
          </a: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 (ii) Desenvolvimento</a:t>
          </a:r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de modelos de localização para novos armazéns e terminais de transbordo;</a:t>
          </a:r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(iii) Análise sobre a viabilidade de investimentos;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(iv) Custos operacionais da armazenagem de grãos;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(v) Uso estratégico da armazenagem;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(vi) Análise de políticas públicas voltadas para o desenvolvimento da armazenagem no Brasil.</a:t>
          </a:r>
          <a:endParaRPr lang="pt-BR" sz="1600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7</xdr:row>
      <xdr:rowOff>9524</xdr:rowOff>
    </xdr:from>
    <xdr:to>
      <xdr:col>15</xdr:col>
      <xdr:colOff>461121</xdr:colOff>
      <xdr:row>27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19050</xdr:colOff>
      <xdr:row>8</xdr:row>
      <xdr:rowOff>85725</xdr:rowOff>
    </xdr:from>
    <xdr:to>
      <xdr:col>3</xdr:col>
      <xdr:colOff>333375</xdr:colOff>
      <xdr:row>26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109" y="1363196"/>
              <a:ext cx="2152090" cy="34250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2013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100971</xdr:colOff>
      <xdr:row>0</xdr:row>
      <xdr:rowOff>90374</xdr:rowOff>
    </xdr:from>
    <xdr:to>
      <xdr:col>2</xdr:col>
      <xdr:colOff>126626</xdr:colOff>
      <xdr:row>3</xdr:row>
      <xdr:rowOff>137079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75395</xdr:colOff>
      <xdr:row>0</xdr:row>
      <xdr:rowOff>46504</xdr:rowOff>
    </xdr:from>
    <xdr:to>
      <xdr:col>15</xdr:col>
      <xdr:colOff>529868</xdr:colOff>
      <xdr:row>3</xdr:row>
      <xdr:rowOff>147357</xdr:rowOff>
    </xdr:to>
    <xdr:pic>
      <xdr:nvPicPr>
        <xdr:cNvPr id="5" name="Imagem 4" descr="Resultado de imagem para ESALQ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0370" y="46504"/>
          <a:ext cx="454473" cy="6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1923594</xdr:colOff>
      <xdr:row>1</xdr:row>
      <xdr:rowOff>25299</xdr:rowOff>
    </xdr:from>
    <xdr:to>
      <xdr:col>14</xdr:col>
      <xdr:colOff>486230</xdr:colOff>
      <xdr:row>3</xdr:row>
      <xdr:rowOff>11206</xdr:rowOff>
    </xdr:to>
    <xdr:pic>
      <xdr:nvPicPr>
        <xdr:cNvPr id="6" name="Imagem 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6644" y="215799"/>
          <a:ext cx="1096286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557493</xdr:colOff>
      <xdr:row>28</xdr:row>
      <xdr:rowOff>83483</xdr:rowOff>
    </xdr:from>
    <xdr:to>
      <xdr:col>15</xdr:col>
      <xdr:colOff>456640</xdr:colOff>
      <xdr:row>50</xdr:row>
      <xdr:rowOff>56028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" sourceName="An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no" cache="SegmentaçãodeDados_Ano" caption="Ano" style="SlicerStyleDark6" rowHeight="241300"/>
</slicers>
</file>

<file path=xl/tables/table1.xml><?xml version="1.0" encoding="utf-8"?>
<table xmlns="http://schemas.openxmlformats.org/spreadsheetml/2006/main" id="2" name="Tabela2" displayName="Tabela2" ref="A4:S136" totalsRowShown="0" headerRowDxfId="19">
  <autoFilter ref="A4:S136"/>
  <tableColumns count="19">
    <tableColumn id="1" name="Ano" dataDxfId="18"/>
    <tableColumn id="2" name="Mês" dataDxfId="17"/>
    <tableColumn id="3" name="Mês/Ano" dataDxfId="16">
      <calculatedColumnFormula>CONCATENATE(B5,"-",A5)</calculatedColumnFormula>
    </tableColumn>
    <tableColumn id="4" name="Mês/Ano2" dataDxfId="15"/>
    <tableColumn id="5" name="Preço (US$/saca) - Paranaguá" dataDxfId="14"/>
    <tableColumn id="6" name="Preço (R$/saca) - Paranaguá" dataDxfId="13"/>
    <tableColumn id="7" name="Cotação (R$/Dolar)" dataDxfId="12">
      <calculatedColumnFormula>F5/E5</calculatedColumnFormula>
    </tableColumn>
    <tableColumn id="8" name="Taxa de Juros" dataDxfId="11" dataCellStyle="Porcentagem">
      <calculatedColumnFormula>INDEX('Taxa de Juros (Ano)'!C:C,MATCH(Base!A5,'Taxa de Juros (Ano)'!A:A,0),1)</calculatedColumnFormula>
    </tableColumn>
    <tableColumn id="9" name="Chave-Colheita" dataDxfId="10">
      <calculatedColumnFormula>CONCATENATE($B$1,"-",A5)</calculatedColumnFormula>
    </tableColumn>
    <tableColumn id="10" name="Preço (R$/saca)_Época da Colheita" dataDxfId="9">
      <calculatedColumnFormula>INDEX($F$4:$F$136,MATCH(I5,$C$4:$C$136,0),1)</calculatedColumnFormula>
    </tableColumn>
    <tableColumn id="11" name="Juros (R$/saca)" dataDxfId="8" dataCellStyle="Vírgula">
      <calculatedColumnFormula>J5*H5*M5</calculatedColumnFormula>
    </tableColumn>
    <tableColumn id="12" name="Transporte (R$/saca)"/>
    <tableColumn id="13" name="Tempo de Armazenagem (meses)">
      <calculatedColumnFormula>IF(B5&lt;=$B$1,0,B5-$B$1)</calculatedColumnFormula>
    </tableColumn>
    <tableColumn id="14" name="Chave-Armazenagem" dataDxfId="7">
      <calculatedColumnFormula>CONCATENATE(M5,"-",A5)</calculatedColumnFormula>
    </tableColumn>
    <tableColumn id="15" name="Custo de Elevação (R$/saca)"/>
    <tableColumn id="16" name="Prêmio (R$/saca)"/>
    <tableColumn id="17" name="Custo de Armazenagem (R$/saca)">
      <calculatedColumnFormula>INDEX(SIARMA!D:D,MATCH(Base!M5,SIARMA!A:A,0),1)</calculatedColumnFormula>
    </tableColumn>
    <tableColumn id="19" name="Receita Líquida (R$/saca)" dataDxfId="6">
      <calculatedColumnFormula>IF(B5&lt;$B$1,0,F5-Q5-L5-K5)</calculatedColumnFormula>
    </tableColumn>
    <tableColumn id="20" name="Ganho/Perda com Armazenagem (R$/saca)" dataDxfId="5">
      <calculatedColumnFormula>IF(R5=0,0,R5-(J5-X5))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U4:Z148" totalsRowShown="0" headerRowDxfId="4">
  <autoFilter ref="U4:Z148"/>
  <tableColumns count="6">
    <tableColumn id="1" name="Gráfico (+)" dataDxfId="3" dataCellStyle="Moeda">
      <calculatedColumnFormula>IF(S5&gt;0,S5,0)</calculatedColumnFormula>
    </tableColumn>
    <tableColumn id="2" name="Gráfico (-)" dataDxfId="2" dataCellStyle="Moeda">
      <calculatedColumnFormula>IF(S5&lt;0,S5,0)</calculatedColumnFormula>
    </tableColumn>
    <tableColumn id="3" name="Índice Frete/Preço (%)" dataDxfId="1" dataCellStyle="Porcentagem">
      <calculatedColumnFormula>Tabela2[[#This Row],[Transporte (R$/saca)]]/Tabela2[[#This Row],[Preço (R$/saca) - Paranaguá]]</calculatedColumnFormula>
    </tableColumn>
    <tableColumn id="4" name="Transporte (R$/saca)_Colheita" dataDxfId="0">
      <calculatedColumnFormula>INDEX(L:L,MATCH(Tabela2[[#This Row],[Chave-Colheita]],C:C,0),1)</calculatedColumnFormula>
    </tableColumn>
    <tableColumn id="5" name="Índice de Transporte (%)_Base Colheita" dataCellStyle="Vírgula">
      <calculatedColumnFormula>Tabela2[[#This Row],[Transporte (R$/saca)]]/Tabela1[[#This Row],[Transporte (R$/saca)_Colheita]]</calculatedColumnFormula>
    </tableColumn>
    <tableColumn id="6" name="Índice de Preço (%)_Base Colheita" dataCellStyle="Vírgula">
      <calculatedColumnFormula>Tabela2[[#This Row],[Preço (R$/saca) - Paranaguá]]/Tabela2[[#This Row],[Preço (R$/saca)_Época da Colheita]]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salqlog.esalq.usp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43"/>
  <sheetViews>
    <sheetView showGridLines="0" showRowColHeaders="0" zoomScale="70" zoomScaleNormal="70" workbookViewId="0">
      <pane ySplit="4" topLeftCell="A11" activePane="bottomLeft" state="frozen"/>
      <selection pane="bottomLeft" activeCell="B32" sqref="B32"/>
    </sheetView>
  </sheetViews>
  <sheetFormatPr defaultColWidth="0" defaultRowHeight="15" zeroHeight="1" x14ac:dyDescent="0.25"/>
  <cols>
    <col min="1" max="1" width="5.140625" style="27" customWidth="1"/>
    <col min="2" max="2" width="39.5703125" style="27" bestFit="1" customWidth="1"/>
    <col min="3" max="8" width="9.140625" style="27" customWidth="1"/>
    <col min="9" max="9" width="34.42578125" style="27" customWidth="1"/>
    <col min="10" max="10" width="9.140625" style="27" customWidth="1"/>
    <col min="11" max="11" width="26.140625" style="27" customWidth="1"/>
    <col min="12" max="12" width="20.42578125" style="27" customWidth="1"/>
    <col min="13" max="14" width="9.140625" style="27" customWidth="1"/>
    <col min="15" max="15" width="9.85546875" style="27" customWidth="1"/>
    <col min="16" max="16" width="5.140625" style="27" customWidth="1"/>
    <col min="17" max="16384" width="9.140625" style="27" hidden="1"/>
  </cols>
  <sheetData>
    <row r="1" spans="1:16" x14ac:dyDescent="0.25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5.75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ht="6" customHeight="1" x14ac:dyDescent="0.25"/>
    <row r="6" spans="1:16" s="29" customFormat="1" ht="18.75" x14ac:dyDescent="0.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6" s="29" customFormat="1" ht="18.75" x14ac:dyDescent="0.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6" s="29" customFormat="1" ht="18.75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6" s="29" customFormat="1" ht="18.75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s="29" customFormat="1" ht="18.75" x14ac:dyDescent="0.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s="29" customFormat="1" ht="18.75" x14ac:dyDescent="0.3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s="29" customFormat="1" ht="18.75" x14ac:dyDescent="0.3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s="29" customFormat="1" ht="18.75" x14ac:dyDescent="0.3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 s="29" customFormat="1" ht="18.75" x14ac:dyDescent="0.3"/>
    <row r="15" spans="1:16" s="29" customFormat="1" ht="18.75" x14ac:dyDescent="0.3"/>
    <row r="16" spans="1:16" s="29" customFormat="1" ht="18.75" x14ac:dyDescent="0.3"/>
    <row r="17" spans="2:15" s="29" customFormat="1" ht="18.75" x14ac:dyDescent="0.3"/>
    <row r="18" spans="2:15" s="29" customFormat="1" ht="18.75" x14ac:dyDescent="0.3"/>
    <row r="19" spans="2:15" s="29" customFormat="1" ht="18.75" x14ac:dyDescent="0.3"/>
    <row r="20" spans="2:15" s="29" customFormat="1" ht="18.75" x14ac:dyDescent="0.3"/>
    <row r="21" spans="2:15" s="29" customFormat="1" ht="18.75" x14ac:dyDescent="0.3"/>
    <row r="22" spans="2:15" s="29" customFormat="1" ht="18.75" x14ac:dyDescent="0.3"/>
    <row r="23" spans="2:15" s="29" customFormat="1" ht="18.75" x14ac:dyDescent="0.3"/>
    <row r="24" spans="2:15" s="29" customFormat="1" ht="18.75" x14ac:dyDescent="0.3"/>
    <row r="25" spans="2:15" s="29" customFormat="1" ht="18.75" x14ac:dyDescent="0.3"/>
    <row r="26" spans="2:15" s="29" customFormat="1" ht="18.75" x14ac:dyDescent="0.3"/>
    <row r="27" spans="2:15" s="29" customFormat="1" ht="18.75" x14ac:dyDescent="0.3"/>
    <row r="28" spans="2:15" s="29" customFormat="1" ht="18.75" x14ac:dyDescent="0.3"/>
    <row r="29" spans="2:15" s="29" customFormat="1" ht="18.75" x14ac:dyDescent="0.3"/>
    <row r="30" spans="2:15" s="29" customFormat="1" ht="18.75" x14ac:dyDescent="0.3"/>
    <row r="31" spans="2:15" s="29" customFormat="1" ht="21" x14ac:dyDescent="0.35">
      <c r="B31" s="34" t="s">
        <v>53</v>
      </c>
      <c r="C31" s="35" t="s">
        <v>50</v>
      </c>
      <c r="D31" s="35"/>
      <c r="E31" s="35"/>
      <c r="F31" s="35"/>
      <c r="G31" s="36"/>
      <c r="H31" s="37"/>
      <c r="I31" s="37"/>
      <c r="J31" s="37"/>
      <c r="K31" s="37"/>
      <c r="L31" s="37"/>
      <c r="M31" s="37"/>
      <c r="N31" s="37"/>
      <c r="O31" s="38"/>
    </row>
    <row r="32" spans="2:15" s="29" customFormat="1" ht="9.75" customHeight="1" x14ac:dyDescent="0.35">
      <c r="B32" s="39"/>
      <c r="C32" s="31"/>
      <c r="D32" s="31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40"/>
    </row>
    <row r="33" spans="1:15" s="29" customFormat="1" ht="21" x14ac:dyDescent="0.35">
      <c r="B33" s="41" t="s">
        <v>51</v>
      </c>
      <c r="C33" s="31" t="s">
        <v>55</v>
      </c>
      <c r="D33" s="31"/>
      <c r="E33" s="31"/>
      <c r="F33" s="31"/>
      <c r="G33" s="32"/>
      <c r="H33" s="33"/>
      <c r="I33" s="33"/>
      <c r="J33" s="33"/>
      <c r="K33" s="33"/>
      <c r="L33" s="33"/>
      <c r="M33" s="33"/>
      <c r="N33" s="33"/>
      <c r="O33" s="40"/>
    </row>
    <row r="34" spans="1:15" s="29" customFormat="1" ht="21" x14ac:dyDescent="0.35">
      <c r="B34" s="42"/>
      <c r="C34" s="31" t="s">
        <v>52</v>
      </c>
      <c r="D34" s="31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40"/>
    </row>
    <row r="35" spans="1:15" s="29" customFormat="1" ht="21" x14ac:dyDescent="0.35">
      <c r="B35" s="43"/>
      <c r="C35" s="44" t="s">
        <v>56</v>
      </c>
      <c r="D35" s="44"/>
      <c r="E35" s="44"/>
      <c r="F35" s="44"/>
      <c r="G35" s="45"/>
      <c r="H35" s="46"/>
      <c r="I35" s="46"/>
      <c r="J35" s="46"/>
      <c r="K35" s="46"/>
      <c r="L35" s="46"/>
      <c r="M35" s="46"/>
      <c r="N35" s="46"/>
      <c r="O35" s="47"/>
    </row>
    <row r="36" spans="1:15" s="28" customFormat="1" ht="9" customHeight="1" x14ac:dyDescent="0.3">
      <c r="A36" s="29"/>
      <c r="B36" s="29"/>
      <c r="C36" s="29"/>
      <c r="D36" s="29"/>
      <c r="E36" s="29"/>
      <c r="F36" s="29"/>
      <c r="G36" s="29"/>
      <c r="H36" s="29"/>
    </row>
    <row r="37" spans="1:15" s="28" customFormat="1" ht="29.25" customHeight="1" x14ac:dyDescent="0.3">
      <c r="A37" s="29"/>
      <c r="B37" s="61" t="s">
        <v>54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x14ac:dyDescent="0.25"/>
    <row r="39" spans="1:15" hidden="1" x14ac:dyDescent="0.25"/>
    <row r="40" spans="1:15" hidden="1" x14ac:dyDescent="0.25"/>
    <row r="41" spans="1:15" hidden="1" x14ac:dyDescent="0.25"/>
    <row r="42" spans="1:15" hidden="1" x14ac:dyDescent="0.25"/>
    <row r="43" spans="1:15" hidden="1" x14ac:dyDescent="0.25"/>
  </sheetData>
  <sheetProtection algorithmName="SHA-512" hashValue="vgi+swbK+8iKmCEI+Lk6/9LfOWiSKiMUB0rwr5EQCNOKHYHupP7FIhwL2cHx9vNQ36veejWIp/b7tQYu6bcuCw==" saltValue="CCSpN4/v2XO4W+qAv8FBgA==" spinCount="100000" sheet="1" objects="1" scenarios="1" selectLockedCells="1" selectUnlockedCells="1"/>
  <mergeCells count="2">
    <mergeCell ref="A1:P4"/>
    <mergeCell ref="B37:O37"/>
  </mergeCells>
  <hyperlinks>
    <hyperlink ref="B37:O37" r:id="rId1" display="Para mais informações, acesse: esalqlog.esalq.usp.br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51"/>
  <sheetViews>
    <sheetView showGridLines="0" showRowColHeaders="0" tabSelected="1" zoomScale="85" zoomScaleNormal="85" workbookViewId="0">
      <pane ySplit="4" topLeftCell="A5" activePane="bottomLeft" state="frozen"/>
      <selection pane="bottomLeft" activeCell="C8" sqref="C8"/>
    </sheetView>
  </sheetViews>
  <sheetFormatPr defaultColWidth="0" defaultRowHeight="15" zeroHeight="1" x14ac:dyDescent="0.25"/>
  <cols>
    <col min="1" max="1" width="1.7109375" customWidth="1"/>
    <col min="2" max="2" width="16.42578125" customWidth="1"/>
    <col min="3" max="3" width="11.140625" customWidth="1"/>
    <col min="4" max="10" width="17.42578125" customWidth="1"/>
    <col min="11" max="16" width="9.140625" customWidth="1"/>
    <col min="17" max="16384" width="9.140625" hidden="1"/>
  </cols>
  <sheetData>
    <row r="1" spans="1:16" x14ac:dyDescent="0.25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5.75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ht="4.5" customHeight="1" x14ac:dyDescent="0.25"/>
    <row r="6" spans="1:16" x14ac:dyDescent="0.2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4.5" customHeight="1" thickBot="1" x14ac:dyDescent="0.3"/>
    <row r="8" spans="1:16" ht="15.75" thickBot="1" x14ac:dyDescent="0.3">
      <c r="A8" s="18">
        <f>INDEX(SIARMA!$I$2:$I$13,MATCH(SIMULADOR!C8,SIARMA!H2:H13,0),1)</f>
        <v>3</v>
      </c>
      <c r="B8" s="19" t="s">
        <v>39</v>
      </c>
      <c r="C8" s="20" t="s">
        <v>29</v>
      </c>
    </row>
    <row r="9" spans="1:16" ht="7.5" customHeight="1" x14ac:dyDescent="0.25"/>
    <row r="10" spans="1:16" x14ac:dyDescent="0.25"/>
    <row r="11" spans="1:16" x14ac:dyDescent="0.25"/>
    <row r="12" spans="1:16" x14ac:dyDescent="0.25"/>
    <row r="13" spans="1:16" x14ac:dyDescent="0.25"/>
    <row r="14" spans="1:16" x14ac:dyDescent="0.25"/>
    <row r="15" spans="1:16" x14ac:dyDescent="0.25"/>
    <row r="16" spans="1: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3:3" x14ac:dyDescent="0.25">
      <c r="C33" s="26" t="s">
        <v>49</v>
      </c>
    </row>
    <row r="34" spans="3:3" x14ac:dyDescent="0.25"/>
    <row r="35" spans="3:3" x14ac:dyDescent="0.25"/>
    <row r="36" spans="3:3" x14ac:dyDescent="0.25"/>
    <row r="37" spans="3:3" x14ac:dyDescent="0.25"/>
    <row r="38" spans="3:3" x14ac:dyDescent="0.25"/>
    <row r="39" spans="3:3" x14ac:dyDescent="0.25"/>
    <row r="40" spans="3:3" x14ac:dyDescent="0.25"/>
    <row r="41" spans="3:3" x14ac:dyDescent="0.25"/>
    <row r="42" spans="3:3" x14ac:dyDescent="0.25"/>
    <row r="43" spans="3:3" x14ac:dyDescent="0.25"/>
    <row r="44" spans="3:3" x14ac:dyDescent="0.25"/>
    <row r="45" spans="3:3" x14ac:dyDescent="0.25"/>
    <row r="46" spans="3:3" x14ac:dyDescent="0.25"/>
    <row r="47" spans="3:3" x14ac:dyDescent="0.25"/>
    <row r="48" spans="3:3" x14ac:dyDescent="0.25"/>
    <row r="49" x14ac:dyDescent="0.25"/>
    <row r="50" x14ac:dyDescent="0.25"/>
    <row r="51" x14ac:dyDescent="0.25"/>
  </sheetData>
  <sheetProtection algorithmName="SHA-512" hashValue="g8qGHlhXnvKOV/D8FcBFwh8zXpeuzr4NUma/s2uTyQ3gbaZDaUmI06WVzebvP1hfD2x/WokU55Bu9Z+utX1viA==" saltValue="6q6pR18SU1NTafCaGW3Zng==" spinCount="100000" sheet="1" objects="1" scenarios="1" selectLockedCells="1"/>
  <mergeCells count="2">
    <mergeCell ref="A1:P4"/>
    <mergeCell ref="A6:P6"/>
  </mergeCells>
  <dataValidations count="1">
    <dataValidation type="list" allowBlank="1" showInputMessage="1" showErrorMessage="1" sqref="C8">
      <formula1>"Janeiro, Fevereiro, Março, Abril"</formula1>
    </dataValidation>
  </dataValidations>
  <pageMargins left="0.511811024" right="0.511811024" top="0.78740157499999996" bottom="0.78740157499999996" header="0.31496062000000002" footer="0.31496062000000002"/>
  <drawing r:id="rId1"/>
  <extLst>
    <ext xmlns:x15="http://schemas.microsoft.com/office/spreadsheetml/2010/11/main" uri="{3A4CF648-6AED-40f4-86FF-DC5316D8AED3}">
      <x14:slicerList xmlns:x14="http://schemas.microsoft.com/office/spreadsheetml/2009/9/main"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148"/>
  <sheetViews>
    <sheetView workbookViewId="0">
      <pane ySplit="4" topLeftCell="A129" activePane="bottomLeft" state="frozen"/>
      <selection activeCell="B2" sqref="B2"/>
      <selection pane="bottomLeft" activeCell="D137" sqref="D137:D141"/>
    </sheetView>
  </sheetViews>
  <sheetFormatPr defaultRowHeight="15" x14ac:dyDescent="0.25"/>
  <cols>
    <col min="1" max="1" width="8.42578125" bestFit="1" customWidth="1"/>
    <col min="2" max="2" width="7" bestFit="1" customWidth="1"/>
    <col min="3" max="3" width="11.42578125" customWidth="1"/>
    <col min="4" max="4" width="12.42578125" customWidth="1"/>
    <col min="5" max="5" width="28.7109375" customWidth="1"/>
    <col min="6" max="6" width="27.42578125" customWidth="1"/>
    <col min="7" max="7" width="19.7109375" customWidth="1"/>
    <col min="8" max="8" width="14.85546875" customWidth="1"/>
    <col min="9" max="9" width="17" customWidth="1"/>
    <col min="10" max="10" width="30.5703125" customWidth="1"/>
    <col min="11" max="11" width="16.28515625" customWidth="1"/>
    <col min="12" max="12" width="12.7109375" customWidth="1"/>
    <col min="13" max="13" width="33.5703125" bestFit="1" customWidth="1"/>
    <col min="14" max="14" width="23.140625" bestFit="1" customWidth="1"/>
    <col min="15" max="15" width="28.28515625" customWidth="1"/>
    <col min="16" max="16" width="18.7109375" customWidth="1"/>
    <col min="17" max="17" width="32.5703125" customWidth="1"/>
    <col min="18" max="18" width="25.140625" customWidth="1"/>
    <col min="19" max="19" width="42" bestFit="1" customWidth="1"/>
    <col min="20" max="20" width="1.5703125" customWidth="1"/>
    <col min="21" max="21" width="13.7109375" customWidth="1"/>
    <col min="22" max="22" width="13.42578125" customWidth="1"/>
    <col min="23" max="23" width="23.42578125" bestFit="1" customWidth="1"/>
    <col min="24" max="24" width="30.42578125" bestFit="1" customWidth="1"/>
    <col min="25" max="25" width="38.7109375" bestFit="1" customWidth="1"/>
  </cols>
  <sheetData>
    <row r="1" spans="1:26" x14ac:dyDescent="0.25">
      <c r="A1" s="10" t="s">
        <v>13</v>
      </c>
      <c r="B1" s="11">
        <f>SIMULADOR!A8</f>
        <v>3</v>
      </c>
    </row>
    <row r="4" spans="1:26" x14ac:dyDescent="0.25">
      <c r="A4" s="22" t="s">
        <v>0</v>
      </c>
      <c r="B4" s="22" t="s">
        <v>1</v>
      </c>
      <c r="C4" s="22" t="s">
        <v>14</v>
      </c>
      <c r="D4" s="22" t="s">
        <v>25</v>
      </c>
      <c r="E4" s="22" t="s">
        <v>2</v>
      </c>
      <c r="F4" s="22" t="s">
        <v>3</v>
      </c>
      <c r="G4" s="22" t="s">
        <v>4</v>
      </c>
      <c r="H4" s="22" t="s">
        <v>8</v>
      </c>
      <c r="I4" s="23" t="s">
        <v>15</v>
      </c>
      <c r="J4" s="22" t="s">
        <v>41</v>
      </c>
      <c r="K4" s="22" t="s">
        <v>16</v>
      </c>
      <c r="L4" s="22" t="s">
        <v>42</v>
      </c>
      <c r="M4" s="22" t="s">
        <v>43</v>
      </c>
      <c r="N4" s="23" t="s">
        <v>20</v>
      </c>
      <c r="O4" s="23" t="s">
        <v>18</v>
      </c>
      <c r="P4" s="23" t="s">
        <v>19</v>
      </c>
      <c r="Q4" s="22" t="s">
        <v>11</v>
      </c>
      <c r="R4" s="22" t="s">
        <v>12</v>
      </c>
      <c r="S4" s="22" t="s">
        <v>17</v>
      </c>
      <c r="U4" s="25" t="s">
        <v>23</v>
      </c>
      <c r="V4" s="25" t="s">
        <v>24</v>
      </c>
      <c r="W4" s="24" t="s">
        <v>44</v>
      </c>
      <c r="X4" s="24" t="s">
        <v>45</v>
      </c>
      <c r="Y4" s="24" t="s">
        <v>46</v>
      </c>
      <c r="Z4" s="24" t="s">
        <v>47</v>
      </c>
    </row>
    <row r="5" spans="1:26" x14ac:dyDescent="0.25">
      <c r="A5" s="7">
        <v>2007</v>
      </c>
      <c r="B5" s="2">
        <v>1</v>
      </c>
      <c r="C5" s="2" t="str">
        <f>CONCATENATE(B5,"-",A5)</f>
        <v>1-2007</v>
      </c>
      <c r="D5" s="13">
        <v>39083</v>
      </c>
      <c r="E5" s="2">
        <v>15.747272727272724</v>
      </c>
      <c r="F5" s="2">
        <v>33.676363636363639</v>
      </c>
      <c r="G5" s="2">
        <f t="shared" ref="G5:G36" si="0">F5/E5</f>
        <v>2.1385521302390029</v>
      </c>
      <c r="H5" s="6">
        <f>INDEX('Taxa de Juros (Ano)'!C:C,MATCH(Base!A5,'Taxa de Juros (Ano)'!A:A,0),1)</f>
        <v>9.3750000000000014E-3</v>
      </c>
      <c r="I5" s="9" t="str">
        <f t="shared" ref="I5:I36" si="1">CONCATENATE($B$1,"-",A5)</f>
        <v>3-2007</v>
      </c>
      <c r="J5" s="2">
        <f>INDEX($F$4:$F$132,MATCH(I5,$C$4:$C$132,0),1)</f>
        <v>34.005909090909093</v>
      </c>
      <c r="K5" s="1">
        <f>J5*H5*M5</f>
        <v>0</v>
      </c>
      <c r="L5">
        <v>9.5955318247866739</v>
      </c>
      <c r="M5">
        <f>IF(B5&lt;=$B$1,0,B5-$B$1)</f>
        <v>0</v>
      </c>
      <c r="N5" s="12" t="str">
        <f t="shared" ref="N5:N36" si="2">CONCATENATE(M5,"-",A5)</f>
        <v>0-2007</v>
      </c>
      <c r="Q5">
        <f>INDEX(SIARMA!D:D,MATCH(Base!M5,SIARMA!A:A,0),1)</f>
        <v>0</v>
      </c>
      <c r="R5" s="2">
        <f t="shared" ref="R5:R36" si="3">IF(B5&lt;$B$1,0,F5-Q5-L5-K5)</f>
        <v>0</v>
      </c>
      <c r="S5" s="2">
        <f t="shared" ref="S5:S36" si="4">IF(R5=0,0,R5-(J5-X5))</f>
        <v>0</v>
      </c>
      <c r="U5" s="17">
        <f t="shared" ref="U5:U36" si="5">IF(S5&gt;0,S5,0)</f>
        <v>0</v>
      </c>
      <c r="V5" s="17">
        <f t="shared" ref="V5:V36" si="6">IF(S5&lt;0,S5,0)</f>
        <v>0</v>
      </c>
      <c r="W5" s="21">
        <f>Tabela2[[#This Row],[Transporte (R$/saca)]]/Tabela2[[#This Row],[Preço (R$/saca) - Paranaguá]]</f>
        <v>0.28493372765536495</v>
      </c>
      <c r="X5">
        <f>INDEX(L:L,MATCH(Tabela2[[#This Row],[Chave-Colheita]],C:C,0),1)</f>
        <v>9.6297169997884833</v>
      </c>
      <c r="Y5" s="1">
        <f>Tabela2[[#This Row],[Transporte (R$/saca)]]/Tabela1[[#This Row],[Transporte (R$/saca)_Colheita]]</f>
        <v>0.99645003326654769</v>
      </c>
      <c r="Z5" s="1">
        <f>Tabela2[[#This Row],[Preço (R$/saca) - Paranaguá]]/Tabela2[[#This Row],[Preço (R$/saca)_Época da Colheita]]</f>
        <v>0.99030917086602599</v>
      </c>
    </row>
    <row r="6" spans="1:26" x14ac:dyDescent="0.25">
      <c r="A6" s="7">
        <v>2007</v>
      </c>
      <c r="B6" s="2">
        <v>2</v>
      </c>
      <c r="C6" s="2" t="str">
        <f t="shared" ref="C6:C69" si="7">CONCATENATE(B6,"-",A6)</f>
        <v>2-2007</v>
      </c>
      <c r="D6" s="13">
        <v>39114</v>
      </c>
      <c r="E6" s="2">
        <v>16.549444444444443</v>
      </c>
      <c r="F6" s="2">
        <v>34.709444444444451</v>
      </c>
      <c r="G6" s="2">
        <f t="shared" si="0"/>
        <v>2.0973178018731753</v>
      </c>
      <c r="H6" s="6">
        <f>INDEX('Taxa de Juros (Ano)'!C:C,MATCH(Base!A6,'Taxa de Juros (Ano)'!A:A,0),1)</f>
        <v>9.3750000000000014E-3</v>
      </c>
      <c r="I6" s="9" t="str">
        <f t="shared" si="1"/>
        <v>3-2007</v>
      </c>
      <c r="J6" s="2">
        <f t="shared" ref="J6:J36" si="8">INDEX($F$4:$F$124,MATCH(I6,$C$4:$C$124,0),1)</f>
        <v>34.005909090909093</v>
      </c>
      <c r="K6" s="1">
        <f t="shared" ref="K6:K36" si="9">J6*H6*M6</f>
        <v>0</v>
      </c>
      <c r="L6">
        <v>9.2675283711227188</v>
      </c>
      <c r="M6">
        <f t="shared" ref="M6:M69" si="10">IF(B6&lt;=$B$1,0,B6-$B$1)</f>
        <v>0</v>
      </c>
      <c r="N6" s="12" t="str">
        <f t="shared" si="2"/>
        <v>0-2007</v>
      </c>
      <c r="Q6">
        <f>INDEX(SIARMA!D:D,MATCH(Base!M6,SIARMA!A:A,0),1)</f>
        <v>0</v>
      </c>
      <c r="R6" s="2">
        <f t="shared" si="3"/>
        <v>0</v>
      </c>
      <c r="S6" s="2">
        <f t="shared" si="4"/>
        <v>0</v>
      </c>
      <c r="U6" s="17">
        <f t="shared" si="5"/>
        <v>0</v>
      </c>
      <c r="V6" s="17">
        <f t="shared" si="6"/>
        <v>0</v>
      </c>
      <c r="W6" s="21">
        <f>Tabela2[[#This Row],[Transporte (R$/saca)]]/Tabela2[[#This Row],[Preço (R$/saca) - Paranaguá]]</f>
        <v>0.26700307421964709</v>
      </c>
      <c r="X6">
        <f>INDEX(L:L,MATCH(Tabela2[[#This Row],[Chave-Colheita]],C:C,0),1)</f>
        <v>9.6297169997884833</v>
      </c>
      <c r="Y6" s="1">
        <f>Tabela2[[#This Row],[Transporte (R$/saca)]]/Tabela1[[#This Row],[Transporte (R$/saca)_Colheita]]</f>
        <v>0.9623884451979513</v>
      </c>
      <c r="Z6" s="1">
        <f>Tabela2[[#This Row],[Preço (R$/saca) - Paranaguá]]/Tabela2[[#This Row],[Preço (R$/saca)_Época da Colheita]]</f>
        <v>1.0206886206645609</v>
      </c>
    </row>
    <row r="7" spans="1:26" x14ac:dyDescent="0.25">
      <c r="A7" s="7">
        <v>2007</v>
      </c>
      <c r="B7" s="2">
        <v>3</v>
      </c>
      <c r="C7" s="2" t="str">
        <f t="shared" si="7"/>
        <v>3-2007</v>
      </c>
      <c r="D7" s="13">
        <v>39142</v>
      </c>
      <c r="E7" s="2">
        <v>16.287272727272729</v>
      </c>
      <c r="F7" s="2">
        <v>34.005909090909093</v>
      </c>
      <c r="G7" s="2">
        <f t="shared" si="0"/>
        <v>2.0878823398079929</v>
      </c>
      <c r="H7" s="6">
        <f>INDEX('Taxa de Juros (Ano)'!C:C,MATCH(Base!A7,'Taxa de Juros (Ano)'!A:A,0),1)</f>
        <v>9.3750000000000014E-3</v>
      </c>
      <c r="I7" s="9" t="str">
        <f t="shared" si="1"/>
        <v>3-2007</v>
      </c>
      <c r="J7" s="2">
        <f t="shared" si="8"/>
        <v>34.005909090909093</v>
      </c>
      <c r="K7" s="1">
        <f t="shared" si="9"/>
        <v>0</v>
      </c>
      <c r="L7">
        <v>9.6297169997884833</v>
      </c>
      <c r="M7">
        <f t="shared" si="10"/>
        <v>0</v>
      </c>
      <c r="N7" s="12" t="str">
        <f t="shared" si="2"/>
        <v>0-2007</v>
      </c>
      <c r="Q7">
        <f>INDEX(SIARMA!D:D,MATCH(Base!M7,SIARMA!A:A,0),1)</f>
        <v>0</v>
      </c>
      <c r="R7" s="2">
        <f t="shared" si="3"/>
        <v>24.376192091120608</v>
      </c>
      <c r="S7" s="2">
        <f t="shared" si="4"/>
        <v>0</v>
      </c>
      <c r="U7" s="17">
        <f t="shared" si="5"/>
        <v>0</v>
      </c>
      <c r="V7" s="17">
        <f t="shared" si="6"/>
        <v>0</v>
      </c>
      <c r="W7" s="21">
        <f>Tabela2[[#This Row],[Transporte (R$/saca)]]/Tabela2[[#This Row],[Preço (R$/saca) - Paranaguá]]</f>
        <v>0.28317775519675276</v>
      </c>
      <c r="X7">
        <f>INDEX(L:L,MATCH(Tabela2[[#This Row],[Chave-Colheita]],C:C,0),1)</f>
        <v>9.6297169997884833</v>
      </c>
      <c r="Y7" s="1">
        <f>Tabela2[[#This Row],[Transporte (R$/saca)]]/Tabela1[[#This Row],[Transporte (R$/saca)_Colheita]]</f>
        <v>1</v>
      </c>
      <c r="Z7" s="1">
        <f>Tabela2[[#This Row],[Preço (R$/saca) - Paranaguá]]/Tabela2[[#This Row],[Preço (R$/saca)_Época da Colheita]]</f>
        <v>1</v>
      </c>
    </row>
    <row r="8" spans="1:26" x14ac:dyDescent="0.25">
      <c r="A8" s="7">
        <v>2007</v>
      </c>
      <c r="B8" s="2">
        <v>4</v>
      </c>
      <c r="C8" s="2" t="str">
        <f t="shared" si="7"/>
        <v>4-2007</v>
      </c>
      <c r="D8" s="13">
        <v>39173</v>
      </c>
      <c r="E8" s="2">
        <v>15.724</v>
      </c>
      <c r="F8" s="2">
        <v>31.955999999999996</v>
      </c>
      <c r="G8" s="2">
        <f t="shared" si="0"/>
        <v>2.0323073009412362</v>
      </c>
      <c r="H8" s="6">
        <f>INDEX('Taxa de Juros (Ano)'!C:C,MATCH(Base!A8,'Taxa de Juros (Ano)'!A:A,0),1)</f>
        <v>9.3750000000000014E-3</v>
      </c>
      <c r="I8" s="9" t="str">
        <f t="shared" si="1"/>
        <v>3-2007</v>
      </c>
      <c r="J8" s="2">
        <f t="shared" si="8"/>
        <v>34.005909090909093</v>
      </c>
      <c r="K8" s="1">
        <f t="shared" si="9"/>
        <v>0.31880539772727279</v>
      </c>
      <c r="L8">
        <v>9.4408546926434269</v>
      </c>
      <c r="M8">
        <f t="shared" si="10"/>
        <v>1</v>
      </c>
      <c r="N8" s="12" t="str">
        <f t="shared" si="2"/>
        <v>1-2007</v>
      </c>
      <c r="Q8">
        <f>INDEX(SIARMA!D:D,MATCH(Base!M8,SIARMA!A:A,0),1)</f>
        <v>0.92800000000000016</v>
      </c>
      <c r="R8" s="2">
        <f t="shared" si="3"/>
        <v>21.268339909629294</v>
      </c>
      <c r="S8" s="2">
        <f t="shared" si="4"/>
        <v>-3.1078521814913138</v>
      </c>
      <c r="U8" s="17">
        <f t="shared" si="5"/>
        <v>0</v>
      </c>
      <c r="V8" s="17">
        <f t="shared" si="6"/>
        <v>-3.1078521814913138</v>
      </c>
      <c r="W8" s="21">
        <f>Tabela2[[#This Row],[Transporte (R$/saca)]]/Tabela2[[#This Row],[Preço (R$/saca) - Paranaguá]]</f>
        <v>0.29543292942306382</v>
      </c>
      <c r="X8">
        <f>INDEX(L:L,MATCH(Tabela2[[#This Row],[Chave-Colheita]],C:C,0),1)</f>
        <v>9.6297169997884833</v>
      </c>
      <c r="Y8" s="1">
        <f>Tabela2[[#This Row],[Transporte (R$/saca)]]/Tabela1[[#This Row],[Transporte (R$/saca)_Colheita]]</f>
        <v>0.98038755374127773</v>
      </c>
      <c r="Z8" s="1">
        <f>Tabela2[[#This Row],[Preço (R$/saca) - Paranaguá]]/Tabela2[[#This Row],[Preço (R$/saca)_Época da Colheita]]</f>
        <v>0.93971903278841895</v>
      </c>
    </row>
    <row r="9" spans="1:26" x14ac:dyDescent="0.25">
      <c r="A9" s="7">
        <v>2007</v>
      </c>
      <c r="B9" s="2">
        <v>5</v>
      </c>
      <c r="C9" s="2" t="str">
        <f t="shared" si="7"/>
        <v>5-2007</v>
      </c>
      <c r="D9" s="13">
        <v>39203</v>
      </c>
      <c r="E9" s="2">
        <v>16.228636363636362</v>
      </c>
      <c r="F9" s="2">
        <v>32.123636363636365</v>
      </c>
      <c r="G9" s="2">
        <f t="shared" si="0"/>
        <v>1.9794415035151112</v>
      </c>
      <c r="H9" s="6">
        <f>INDEX('Taxa de Juros (Ano)'!C:C,MATCH(Base!A9,'Taxa de Juros (Ano)'!A:A,0),1)</f>
        <v>9.3750000000000014E-3</v>
      </c>
      <c r="I9" s="9" t="str">
        <f t="shared" si="1"/>
        <v>3-2007</v>
      </c>
      <c r="J9" s="2">
        <f t="shared" si="8"/>
        <v>34.005909090909093</v>
      </c>
      <c r="K9" s="1">
        <f t="shared" si="9"/>
        <v>0.63761079545454558</v>
      </c>
      <c r="L9">
        <v>8.5985653047750787</v>
      </c>
      <c r="M9">
        <f t="shared" si="10"/>
        <v>2</v>
      </c>
      <c r="N9" s="12" t="str">
        <f t="shared" si="2"/>
        <v>2-2007</v>
      </c>
      <c r="Q9">
        <f>INDEX(SIARMA!D:D,MATCH(Base!M9,SIARMA!A:A,0),1)</f>
        <v>1.0149999999999999</v>
      </c>
      <c r="R9" s="2">
        <f t="shared" si="3"/>
        <v>21.87246026340674</v>
      </c>
      <c r="S9" s="2">
        <f t="shared" si="4"/>
        <v>-2.5037318277138674</v>
      </c>
      <c r="U9" s="17">
        <f t="shared" si="5"/>
        <v>0</v>
      </c>
      <c r="V9" s="17">
        <f t="shared" si="6"/>
        <v>-2.5037318277138674</v>
      </c>
      <c r="W9" s="21">
        <f>Tabela2[[#This Row],[Transporte (R$/saca)]]/Tabela2[[#This Row],[Preço (R$/saca) - Paranaguá]]</f>
        <v>0.2676709824330028</v>
      </c>
      <c r="X9">
        <f>INDEX(L:L,MATCH(Tabela2[[#This Row],[Chave-Colheita]],C:C,0),1)</f>
        <v>9.6297169997884833</v>
      </c>
      <c r="Y9" s="1">
        <f>Tabela2[[#This Row],[Transporte (R$/saca)]]/Tabela1[[#This Row],[Transporte (R$/saca)_Colheita]]</f>
        <v>0.89291983398514685</v>
      </c>
      <c r="Z9" s="1">
        <f>Tabela2[[#This Row],[Preço (R$/saca) - Paranaguá]]/Tabela2[[#This Row],[Preço (R$/saca)_Época da Colheita]]</f>
        <v>0.94464865731891512</v>
      </c>
    </row>
    <row r="10" spans="1:26" x14ac:dyDescent="0.25">
      <c r="A10" s="7">
        <v>2007</v>
      </c>
      <c r="B10" s="2">
        <v>6</v>
      </c>
      <c r="C10" s="2" t="str">
        <f t="shared" si="7"/>
        <v>6-2007</v>
      </c>
      <c r="D10" s="13">
        <v>39234</v>
      </c>
      <c r="E10" s="2">
        <v>17.045000000000002</v>
      </c>
      <c r="F10" s="2">
        <v>32.942999999999998</v>
      </c>
      <c r="G10" s="2">
        <f t="shared" si="0"/>
        <v>1.9327075388677029</v>
      </c>
      <c r="H10" s="6">
        <f>INDEX('Taxa de Juros (Ano)'!C:C,MATCH(Base!A10,'Taxa de Juros (Ano)'!A:A,0),1)</f>
        <v>9.3750000000000014E-3</v>
      </c>
      <c r="I10" s="9" t="str">
        <f t="shared" si="1"/>
        <v>3-2007</v>
      </c>
      <c r="J10" s="2">
        <f t="shared" si="8"/>
        <v>34.005909090909093</v>
      </c>
      <c r="K10" s="1">
        <f t="shared" si="9"/>
        <v>0.95641619318181836</v>
      </c>
      <c r="L10">
        <v>8.6121965203310129</v>
      </c>
      <c r="M10">
        <f t="shared" si="10"/>
        <v>3</v>
      </c>
      <c r="N10" s="12" t="str">
        <f t="shared" si="2"/>
        <v>3-2007</v>
      </c>
      <c r="Q10">
        <f>INDEX(SIARMA!D:D,MATCH(Base!M10,SIARMA!A:A,0),1)</f>
        <v>1.1523333333333334</v>
      </c>
      <c r="R10" s="2">
        <f t="shared" si="3"/>
        <v>22.222053953153829</v>
      </c>
      <c r="S10" s="2">
        <f t="shared" si="4"/>
        <v>-2.154138137966779</v>
      </c>
      <c r="U10" s="17">
        <f t="shared" si="5"/>
        <v>0</v>
      </c>
      <c r="V10" s="17">
        <f t="shared" si="6"/>
        <v>-2.154138137966779</v>
      </c>
      <c r="W10" s="21">
        <f>Tabela2[[#This Row],[Transporte (R$/saca)]]/Tabela2[[#This Row],[Preço (R$/saca) - Paranaguá]]</f>
        <v>0.26142720821816512</v>
      </c>
      <c r="X10">
        <f>INDEX(L:L,MATCH(Tabela2[[#This Row],[Chave-Colheita]],C:C,0),1)</f>
        <v>9.6297169997884833</v>
      </c>
      <c r="Y10" s="1">
        <f>Tabela2[[#This Row],[Transporte (R$/saca)]]/Tabela1[[#This Row],[Transporte (R$/saca)_Colheita]]</f>
        <v>0.89433537044963829</v>
      </c>
      <c r="Z10" s="1">
        <f>Tabela2[[#This Row],[Preço (R$/saca) - Paranaguá]]/Tabela2[[#This Row],[Preço (R$/saca)_Época da Colheita]]</f>
        <v>0.9687434002111931</v>
      </c>
    </row>
    <row r="11" spans="1:26" x14ac:dyDescent="0.25">
      <c r="A11" s="7">
        <v>2007</v>
      </c>
      <c r="B11" s="2">
        <v>7</v>
      </c>
      <c r="C11" s="2" t="str">
        <f t="shared" si="7"/>
        <v>7-2007</v>
      </c>
      <c r="D11" s="13">
        <v>39264</v>
      </c>
      <c r="E11" s="2">
        <v>17.873636363636365</v>
      </c>
      <c r="F11" s="2">
        <v>33.651818181818186</v>
      </c>
      <c r="G11" s="2">
        <f t="shared" si="0"/>
        <v>1.8827628299679571</v>
      </c>
      <c r="H11" s="6">
        <f>INDEX('Taxa de Juros (Ano)'!C:C,MATCH(Base!A11,'Taxa de Juros (Ano)'!A:A,0),1)</f>
        <v>9.3750000000000014E-3</v>
      </c>
      <c r="I11" s="9" t="str">
        <f t="shared" si="1"/>
        <v>3-2007</v>
      </c>
      <c r="J11" s="2">
        <f t="shared" si="8"/>
        <v>34.005909090909093</v>
      </c>
      <c r="K11" s="1">
        <f t="shared" si="9"/>
        <v>1.2752215909090912</v>
      </c>
      <c r="L11">
        <v>8.9698257899889011</v>
      </c>
      <c r="M11">
        <f t="shared" si="10"/>
        <v>4</v>
      </c>
      <c r="N11" s="12" t="str">
        <f t="shared" si="2"/>
        <v>4-2007</v>
      </c>
      <c r="Q11">
        <f>INDEX(SIARMA!D:D,MATCH(Base!M11,SIARMA!A:A,0),1)</f>
        <v>1.289666666666667</v>
      </c>
      <c r="R11" s="2">
        <f t="shared" si="3"/>
        <v>22.117104134253523</v>
      </c>
      <c r="S11" s="2">
        <f t="shared" si="4"/>
        <v>-2.2590879568670843</v>
      </c>
      <c r="U11" s="17">
        <f t="shared" si="5"/>
        <v>0</v>
      </c>
      <c r="V11" s="17">
        <f t="shared" si="6"/>
        <v>-2.2590879568670843</v>
      </c>
      <c r="W11" s="21">
        <f>Tabela2[[#This Row],[Transporte (R$/saca)]]/Tabela2[[#This Row],[Preço (R$/saca) - Paranaguá]]</f>
        <v>0.26654802844605963</v>
      </c>
      <c r="X11">
        <f>INDEX(L:L,MATCH(Tabela2[[#This Row],[Chave-Colheita]],C:C,0),1)</f>
        <v>9.6297169997884833</v>
      </c>
      <c r="Y11" s="1">
        <f>Tabela2[[#This Row],[Transporte (R$/saca)]]/Tabela1[[#This Row],[Transporte (R$/saca)_Colheita]]</f>
        <v>0.93147345765051281</v>
      </c>
      <c r="Z11" s="1">
        <f>Tabela2[[#This Row],[Preço (R$/saca) - Paranaguá]]/Tabela2[[#This Row],[Preço (R$/saca)_Época da Colheita]]</f>
        <v>0.98958737117880591</v>
      </c>
    </row>
    <row r="12" spans="1:26" x14ac:dyDescent="0.25">
      <c r="A12" s="7">
        <v>2007</v>
      </c>
      <c r="B12" s="2">
        <v>8</v>
      </c>
      <c r="C12" s="2" t="str">
        <f t="shared" si="7"/>
        <v>8-2007</v>
      </c>
      <c r="D12" s="13">
        <v>39295</v>
      </c>
      <c r="E12" s="2">
        <v>18.894347826086957</v>
      </c>
      <c r="F12" s="2">
        <v>37.106086956521743</v>
      </c>
      <c r="G12" s="2">
        <f t="shared" si="0"/>
        <v>1.9638723335711163</v>
      </c>
      <c r="H12" s="6">
        <f>INDEX('Taxa de Juros (Ano)'!C:C,MATCH(Base!A12,'Taxa de Juros (Ano)'!A:A,0),1)</f>
        <v>9.3750000000000014E-3</v>
      </c>
      <c r="I12" s="9" t="str">
        <f t="shared" si="1"/>
        <v>3-2007</v>
      </c>
      <c r="J12" s="2">
        <f t="shared" si="8"/>
        <v>34.005909090909093</v>
      </c>
      <c r="K12" s="1">
        <f t="shared" si="9"/>
        <v>1.5940269886363638</v>
      </c>
      <c r="L12">
        <v>9.6339451014206752</v>
      </c>
      <c r="M12">
        <f t="shared" si="10"/>
        <v>5</v>
      </c>
      <c r="N12" s="12" t="str">
        <f t="shared" si="2"/>
        <v>5-2007</v>
      </c>
      <c r="Q12">
        <f>INDEX(SIARMA!D:D,MATCH(Base!M12,SIARMA!A:A,0),1)</f>
        <v>1.4270000000000005</v>
      </c>
      <c r="R12" s="2">
        <f t="shared" si="3"/>
        <v>24.451114866464703</v>
      </c>
      <c r="S12" s="2">
        <f t="shared" si="4"/>
        <v>7.4922775344095527E-2</v>
      </c>
      <c r="U12" s="17">
        <f t="shared" si="5"/>
        <v>7.4922775344095527E-2</v>
      </c>
      <c r="V12" s="17">
        <f t="shared" si="6"/>
        <v>0</v>
      </c>
      <c r="W12" s="21">
        <f>Tabela2[[#This Row],[Transporte (R$/saca)]]/Tabela2[[#This Row],[Preço (R$/saca) - Paranaguá]]</f>
        <v>0.2596324725026663</v>
      </c>
      <c r="X12">
        <f>INDEX(L:L,MATCH(Tabela2[[#This Row],[Chave-Colheita]],C:C,0),1)</f>
        <v>9.6297169997884833</v>
      </c>
      <c r="Y12" s="1">
        <f>Tabela2[[#This Row],[Transporte (R$/saca)]]/Tabela1[[#This Row],[Transporte (R$/saca)_Colheita]]</f>
        <v>1.0004390681088846</v>
      </c>
      <c r="Z12" s="1">
        <f>Tabela2[[#This Row],[Preço (R$/saca) - Paranaguá]]/Tabela2[[#This Row],[Preço (R$/saca)_Época da Colheita]]</f>
        <v>1.0911658575962444</v>
      </c>
    </row>
    <row r="13" spans="1:26" x14ac:dyDescent="0.25">
      <c r="A13" s="7">
        <v>2007</v>
      </c>
      <c r="B13" s="2">
        <v>9</v>
      </c>
      <c r="C13" s="2" t="str">
        <f t="shared" si="7"/>
        <v>9-2007</v>
      </c>
      <c r="D13" s="13">
        <v>39326</v>
      </c>
      <c r="E13" s="2">
        <v>21.772631578947372</v>
      </c>
      <c r="F13" s="2">
        <v>41.301578947368419</v>
      </c>
      <c r="G13" s="2">
        <f t="shared" si="0"/>
        <v>1.8969493328176363</v>
      </c>
      <c r="H13" s="6">
        <f>INDEX('Taxa de Juros (Ano)'!C:C,MATCH(Base!A13,'Taxa de Juros (Ano)'!A:A,0),1)</f>
        <v>9.3750000000000014E-3</v>
      </c>
      <c r="I13" s="9" t="str">
        <f t="shared" si="1"/>
        <v>3-2007</v>
      </c>
      <c r="J13" s="2">
        <f t="shared" si="8"/>
        <v>34.005909090909093</v>
      </c>
      <c r="K13" s="1">
        <f t="shared" si="9"/>
        <v>1.9128323863636367</v>
      </c>
      <c r="L13">
        <v>9.7967391194495193</v>
      </c>
      <c r="M13">
        <f t="shared" si="10"/>
        <v>6</v>
      </c>
      <c r="N13" s="12" t="str">
        <f t="shared" si="2"/>
        <v>6-2007</v>
      </c>
      <c r="Q13">
        <f>INDEX(SIARMA!D:D,MATCH(Base!M13,SIARMA!A:A,0),1)</f>
        <v>1.5643333333333338</v>
      </c>
      <c r="R13" s="2">
        <f t="shared" si="3"/>
        <v>28.027674108221934</v>
      </c>
      <c r="S13" s="2">
        <f t="shared" si="4"/>
        <v>3.6514820171013262</v>
      </c>
      <c r="U13" s="17">
        <f t="shared" si="5"/>
        <v>3.6514820171013262</v>
      </c>
      <c r="V13" s="17">
        <f t="shared" si="6"/>
        <v>0</v>
      </c>
      <c r="W13" s="21">
        <f>Tabela2[[#This Row],[Transporte (R$/saca)]]/Tabela2[[#This Row],[Preço (R$/saca) - Paranaguá]]</f>
        <v>0.2372001112096401</v>
      </c>
      <c r="X13">
        <f>INDEX(L:L,MATCH(Tabela2[[#This Row],[Chave-Colheita]],C:C,0),1)</f>
        <v>9.6297169997884833</v>
      </c>
      <c r="Y13" s="1">
        <f>Tabela2[[#This Row],[Transporte (R$/saca)]]/Tabela1[[#This Row],[Transporte (R$/saca)_Colheita]]</f>
        <v>1.0173444473669064</v>
      </c>
      <c r="Z13" s="1">
        <f>Tabela2[[#This Row],[Preço (R$/saca) - Paranaguá]]/Tabela2[[#This Row],[Preço (R$/saca)_Época da Colheita]]</f>
        <v>1.2145412386110772</v>
      </c>
    </row>
    <row r="14" spans="1:26" x14ac:dyDescent="0.25">
      <c r="A14" s="7">
        <v>2007</v>
      </c>
      <c r="B14" s="2">
        <v>10</v>
      </c>
      <c r="C14" s="2" t="str">
        <f t="shared" si="7"/>
        <v>10-2007</v>
      </c>
      <c r="D14" s="13">
        <v>39356</v>
      </c>
      <c r="E14" s="2">
        <v>23.444545454545459</v>
      </c>
      <c r="F14" s="2">
        <v>42.197272727272718</v>
      </c>
      <c r="G14" s="2">
        <f t="shared" si="0"/>
        <v>1.799875916088254</v>
      </c>
      <c r="H14" s="6">
        <f>INDEX('Taxa de Juros (Ano)'!C:C,MATCH(Base!A14,'Taxa de Juros (Ano)'!A:A,0),1)</f>
        <v>9.3750000000000014E-3</v>
      </c>
      <c r="I14" s="9" t="str">
        <f t="shared" si="1"/>
        <v>3-2007</v>
      </c>
      <c r="J14" s="2">
        <f t="shared" si="8"/>
        <v>34.005909090909093</v>
      </c>
      <c r="K14" s="1">
        <f t="shared" si="9"/>
        <v>2.2316377840909096</v>
      </c>
      <c r="L14">
        <v>10.513186250858164</v>
      </c>
      <c r="M14">
        <f t="shared" si="10"/>
        <v>7</v>
      </c>
      <c r="N14" s="12" t="str">
        <f t="shared" si="2"/>
        <v>7-2007</v>
      </c>
      <c r="Q14">
        <f>INDEX(SIARMA!D:D,MATCH(Base!M14,SIARMA!A:A,0),1)</f>
        <v>1.7016666666666673</v>
      </c>
      <c r="R14" s="2">
        <f t="shared" si="3"/>
        <v>27.750782025656978</v>
      </c>
      <c r="S14" s="2">
        <f t="shared" si="4"/>
        <v>3.3745899345363704</v>
      </c>
      <c r="U14" s="17">
        <f t="shared" si="5"/>
        <v>3.3745899345363704</v>
      </c>
      <c r="V14" s="17">
        <f t="shared" si="6"/>
        <v>0</v>
      </c>
      <c r="W14" s="21">
        <f>Tabela2[[#This Row],[Transporte (R$/saca)]]/Tabela2[[#This Row],[Preço (R$/saca) - Paranaguá]]</f>
        <v>0.24914373776728316</v>
      </c>
      <c r="X14">
        <f>INDEX(L:L,MATCH(Tabela2[[#This Row],[Chave-Colheita]],C:C,0),1)</f>
        <v>9.6297169997884833</v>
      </c>
      <c r="Y14" s="1">
        <f>Tabela2[[#This Row],[Transporte (R$/saca)]]/Tabela1[[#This Row],[Transporte (R$/saca)_Colheita]]</f>
        <v>1.0917440513661083</v>
      </c>
      <c r="Z14" s="1">
        <f>Tabela2[[#This Row],[Preço (R$/saca) - Paranaguá]]/Tabela2[[#This Row],[Preço (R$/saca)_Época da Colheita]]</f>
        <v>1.2408805956184081</v>
      </c>
    </row>
    <row r="15" spans="1:26" x14ac:dyDescent="0.25">
      <c r="A15" s="7">
        <v>2007</v>
      </c>
      <c r="B15" s="2">
        <v>11</v>
      </c>
      <c r="C15" s="2" t="str">
        <f t="shared" si="7"/>
        <v>11-2007</v>
      </c>
      <c r="D15" s="13">
        <v>39387</v>
      </c>
      <c r="E15" s="2">
        <v>24.259499999999999</v>
      </c>
      <c r="F15" s="2">
        <v>42.96</v>
      </c>
      <c r="G15" s="2">
        <f t="shared" si="0"/>
        <v>1.7708526556606692</v>
      </c>
      <c r="H15" s="6">
        <f>INDEX('Taxa de Juros (Ano)'!C:C,MATCH(Base!A15,'Taxa de Juros (Ano)'!A:A,0),1)</f>
        <v>9.3750000000000014E-3</v>
      </c>
      <c r="I15" s="9" t="str">
        <f t="shared" si="1"/>
        <v>3-2007</v>
      </c>
      <c r="J15" s="2">
        <f t="shared" si="8"/>
        <v>34.005909090909093</v>
      </c>
      <c r="K15" s="1">
        <f t="shared" si="9"/>
        <v>2.5504431818181823</v>
      </c>
      <c r="L15">
        <v>10.683630413674368</v>
      </c>
      <c r="M15">
        <f t="shared" si="10"/>
        <v>8</v>
      </c>
      <c r="N15" s="12" t="str">
        <f t="shared" si="2"/>
        <v>8-2007</v>
      </c>
      <c r="Q15">
        <f>INDEX(SIARMA!D:D,MATCH(Base!M15,SIARMA!A:A,0),1)</f>
        <v>1.8390000000000011</v>
      </c>
      <c r="R15" s="2">
        <f t="shared" si="3"/>
        <v>27.886926404507452</v>
      </c>
      <c r="S15" s="2">
        <f t="shared" si="4"/>
        <v>3.5107343133868447</v>
      </c>
      <c r="U15" s="17">
        <f t="shared" si="5"/>
        <v>3.5107343133868447</v>
      </c>
      <c r="V15" s="17">
        <f t="shared" si="6"/>
        <v>0</v>
      </c>
      <c r="W15" s="21">
        <f>Tabela2[[#This Row],[Transporte (R$/saca)]]/Tabela2[[#This Row],[Preço (R$/saca) - Paranaguá]]</f>
        <v>0.24868785879130281</v>
      </c>
      <c r="X15">
        <f>INDEX(L:L,MATCH(Tabela2[[#This Row],[Chave-Colheita]],C:C,0),1)</f>
        <v>9.6297169997884833</v>
      </c>
      <c r="Y15" s="1">
        <f>Tabela2[[#This Row],[Transporte (R$/saca)]]/Tabela1[[#This Row],[Transporte (R$/saca)_Colheita]]</f>
        <v>1.1094438615287483</v>
      </c>
      <c r="Z15" s="1">
        <f>Tabela2[[#This Row],[Preço (R$/saca) - Paranaguá]]/Tabela2[[#This Row],[Preço (R$/saca)_Época da Colheita]]</f>
        <v>1.2633098525657305</v>
      </c>
    </row>
    <row r="16" spans="1:26" x14ac:dyDescent="0.25">
      <c r="A16" s="7">
        <v>2007</v>
      </c>
      <c r="B16" s="2">
        <v>12</v>
      </c>
      <c r="C16" s="2" t="str">
        <f t="shared" si="7"/>
        <v>12-2007</v>
      </c>
      <c r="D16" s="13">
        <v>39417</v>
      </c>
      <c r="E16" s="2">
        <v>24.655555555555562</v>
      </c>
      <c r="F16" s="2">
        <v>44.029444444444451</v>
      </c>
      <c r="G16" s="2">
        <f t="shared" si="0"/>
        <v>1.7857818837314103</v>
      </c>
      <c r="H16" s="6">
        <f>INDEX('Taxa de Juros (Ano)'!C:C,MATCH(Base!A16,'Taxa de Juros (Ano)'!A:A,0),1)</f>
        <v>9.3750000000000014E-3</v>
      </c>
      <c r="I16" s="9" t="str">
        <f t="shared" si="1"/>
        <v>3-2007</v>
      </c>
      <c r="J16" s="2">
        <f t="shared" si="8"/>
        <v>34.005909090909093</v>
      </c>
      <c r="K16" s="1">
        <f t="shared" si="9"/>
        <v>2.869248579545455</v>
      </c>
      <c r="L16">
        <v>8.3142301128309608</v>
      </c>
      <c r="M16">
        <f t="shared" si="10"/>
        <v>9</v>
      </c>
      <c r="N16" s="12" t="str">
        <f t="shared" si="2"/>
        <v>9-2007</v>
      </c>
      <c r="Q16">
        <f>INDEX(SIARMA!D:D,MATCH(Base!M16,SIARMA!A:A,0),1)</f>
        <v>1.9763333333333346</v>
      </c>
      <c r="R16" s="2">
        <f t="shared" si="3"/>
        <v>30.869632418734696</v>
      </c>
      <c r="S16" s="2">
        <f t="shared" si="4"/>
        <v>6.4934403276140884</v>
      </c>
      <c r="U16" s="17">
        <f t="shared" si="5"/>
        <v>6.4934403276140884</v>
      </c>
      <c r="V16" s="17">
        <f t="shared" si="6"/>
        <v>0</v>
      </c>
      <c r="W16" s="21">
        <f>Tabela2[[#This Row],[Transporte (R$/saca)]]/Tabela2[[#This Row],[Preço (R$/saca) - Paranaguá]]</f>
        <v>0.18883340949990193</v>
      </c>
      <c r="X16">
        <f>INDEX(L:L,MATCH(Tabela2[[#This Row],[Chave-Colheita]],C:C,0),1)</f>
        <v>9.6297169997884833</v>
      </c>
      <c r="Y16" s="1">
        <f>Tabela2[[#This Row],[Transporte (R$/saca)]]/Tabela1[[#This Row],[Transporte (R$/saca)_Colheita]]</f>
        <v>0.86339298579735857</v>
      </c>
      <c r="Z16" s="1">
        <f>Tabela2[[#This Row],[Preço (R$/saca) - Paranaguá]]/Tabela2[[#This Row],[Preço (R$/saca)_Época da Colheita]]</f>
        <v>1.2947586352342211</v>
      </c>
    </row>
    <row r="17" spans="1:26" x14ac:dyDescent="0.25">
      <c r="A17" s="7">
        <v>2008</v>
      </c>
      <c r="B17" s="2">
        <v>1</v>
      </c>
      <c r="C17" s="2" t="str">
        <f t="shared" si="7"/>
        <v>1-2008</v>
      </c>
      <c r="D17" s="13">
        <v>39448</v>
      </c>
      <c r="E17" s="2">
        <v>27.019999999999996</v>
      </c>
      <c r="F17" s="2">
        <v>47.927727272727275</v>
      </c>
      <c r="G17" s="2">
        <f t="shared" si="0"/>
        <v>1.7737870937352807</v>
      </c>
      <c r="H17" s="6">
        <f>INDEX('Taxa de Juros (Ano)'!C:C,MATCH(Base!A17,'Taxa de Juros (Ano)'!A:A,0),1)</f>
        <v>9.8499999999999994E-3</v>
      </c>
      <c r="I17" s="9" t="str">
        <f t="shared" si="1"/>
        <v>3-2008</v>
      </c>
      <c r="J17" s="2">
        <f t="shared" si="8"/>
        <v>48.061</v>
      </c>
      <c r="K17" s="1">
        <f t="shared" si="9"/>
        <v>0</v>
      </c>
      <c r="L17">
        <v>9.4733799479811047</v>
      </c>
      <c r="M17">
        <f t="shared" si="10"/>
        <v>0</v>
      </c>
      <c r="N17" s="12" t="str">
        <f t="shared" si="2"/>
        <v>0-2008</v>
      </c>
      <c r="Q17">
        <f>INDEX(SIARMA!D:D,MATCH(Base!M17,SIARMA!A:A,0),1)</f>
        <v>0</v>
      </c>
      <c r="R17" s="2">
        <f t="shared" si="3"/>
        <v>0</v>
      </c>
      <c r="S17" s="2">
        <f t="shared" si="4"/>
        <v>0</v>
      </c>
      <c r="U17" s="17">
        <f t="shared" si="5"/>
        <v>0</v>
      </c>
      <c r="V17" s="17">
        <f t="shared" si="6"/>
        <v>0</v>
      </c>
      <c r="W17" s="21">
        <f>Tabela2[[#This Row],[Transporte (R$/saca)]]/Tabela2[[#This Row],[Preço (R$/saca) - Paranaguá]]</f>
        <v>0.19765969485834192</v>
      </c>
      <c r="X17">
        <f>INDEX(L:L,MATCH(Tabela2[[#This Row],[Chave-Colheita]],C:C,0),1)</f>
        <v>10.806123577730933</v>
      </c>
      <c r="Y17" s="1">
        <f>Tabela2[[#This Row],[Transporte (R$/saca)]]/Tabela1[[#This Row],[Transporte (R$/saca)_Colheita]]</f>
        <v>0.8766677411966376</v>
      </c>
      <c r="Z17" s="1">
        <f>Tabela2[[#This Row],[Preço (R$/saca) - Paranaguá]]/Tabela2[[#This Row],[Preço (R$/saca)_Época da Colheita]]</f>
        <v>0.99722700885806115</v>
      </c>
    </row>
    <row r="18" spans="1:26" x14ac:dyDescent="0.25">
      <c r="A18" s="7">
        <v>2008</v>
      </c>
      <c r="B18" s="2">
        <v>2</v>
      </c>
      <c r="C18" s="2" t="str">
        <f t="shared" si="7"/>
        <v>2-2008</v>
      </c>
      <c r="D18" s="13">
        <v>39479</v>
      </c>
      <c r="E18" s="2">
        <v>28.958421052631582</v>
      </c>
      <c r="F18" s="2">
        <v>49.993684210526311</v>
      </c>
      <c r="G18" s="2">
        <f t="shared" si="0"/>
        <v>1.7263953763108628</v>
      </c>
      <c r="H18" s="6">
        <f>INDEX('Taxa de Juros (Ano)'!C:C,MATCH(Base!A18,'Taxa de Juros (Ano)'!A:A,0),1)</f>
        <v>9.8499999999999994E-3</v>
      </c>
      <c r="I18" s="9" t="str">
        <f t="shared" si="1"/>
        <v>3-2008</v>
      </c>
      <c r="J18" s="2">
        <f t="shared" si="8"/>
        <v>48.061</v>
      </c>
      <c r="K18" s="1">
        <f t="shared" si="9"/>
        <v>0</v>
      </c>
      <c r="L18">
        <v>10.403078498491364</v>
      </c>
      <c r="M18">
        <f t="shared" si="10"/>
        <v>0</v>
      </c>
      <c r="N18" s="12" t="str">
        <f t="shared" si="2"/>
        <v>0-2008</v>
      </c>
      <c r="Q18">
        <f>INDEX(SIARMA!D:D,MATCH(Base!M18,SIARMA!A:A,0),1)</f>
        <v>0</v>
      </c>
      <c r="R18" s="2">
        <f t="shared" si="3"/>
        <v>0</v>
      </c>
      <c r="S18" s="2">
        <f t="shared" si="4"/>
        <v>0</v>
      </c>
      <c r="U18" s="17">
        <f t="shared" si="5"/>
        <v>0</v>
      </c>
      <c r="V18" s="17">
        <f t="shared" si="6"/>
        <v>0</v>
      </c>
      <c r="W18" s="21">
        <f>Tabela2[[#This Row],[Transporte (R$/saca)]]/Tabela2[[#This Row],[Preço (R$/saca) - Paranaguá]]</f>
        <v>0.20808785475148012</v>
      </c>
      <c r="X18">
        <f>INDEX(L:L,MATCH(Tabela2[[#This Row],[Chave-Colheita]],C:C,0),1)</f>
        <v>10.806123577730933</v>
      </c>
      <c r="Y18" s="1">
        <f>Tabela2[[#This Row],[Transporte (R$/saca)]]/Tabela1[[#This Row],[Transporte (R$/saca)_Colheita]]</f>
        <v>0.96270215898047318</v>
      </c>
      <c r="Z18" s="1">
        <f>Tabela2[[#This Row],[Preço (R$/saca) - Paranaguá]]/Tabela2[[#This Row],[Preço (R$/saca)_Época da Colheita]]</f>
        <v>1.0402131501742851</v>
      </c>
    </row>
    <row r="19" spans="1:26" x14ac:dyDescent="0.25">
      <c r="A19" s="7">
        <v>2008</v>
      </c>
      <c r="B19" s="2">
        <v>3</v>
      </c>
      <c r="C19" s="2" t="str">
        <f t="shared" si="7"/>
        <v>3-2008</v>
      </c>
      <c r="D19" s="13">
        <v>39508</v>
      </c>
      <c r="E19" s="2">
        <v>28.154999999999994</v>
      </c>
      <c r="F19" s="2">
        <v>48.061</v>
      </c>
      <c r="G19" s="2">
        <f t="shared" si="0"/>
        <v>1.7070147398330673</v>
      </c>
      <c r="H19" s="6">
        <f>INDEX('Taxa de Juros (Ano)'!C:C,MATCH(Base!A19,'Taxa de Juros (Ano)'!A:A,0),1)</f>
        <v>9.8499999999999994E-3</v>
      </c>
      <c r="I19" s="9" t="str">
        <f t="shared" si="1"/>
        <v>3-2008</v>
      </c>
      <c r="J19" s="2">
        <f t="shared" si="8"/>
        <v>48.061</v>
      </c>
      <c r="K19" s="1">
        <f t="shared" si="9"/>
        <v>0</v>
      </c>
      <c r="L19">
        <v>10.806123577730933</v>
      </c>
      <c r="M19">
        <f t="shared" si="10"/>
        <v>0</v>
      </c>
      <c r="N19" s="12" t="str">
        <f t="shared" si="2"/>
        <v>0-2008</v>
      </c>
      <c r="Q19">
        <f>INDEX(SIARMA!D:D,MATCH(Base!M19,SIARMA!A:A,0),1)</f>
        <v>0</v>
      </c>
      <c r="R19" s="2">
        <f t="shared" si="3"/>
        <v>37.254876422269064</v>
      </c>
      <c r="S19" s="2">
        <f t="shared" si="4"/>
        <v>0</v>
      </c>
      <c r="U19" s="17">
        <f t="shared" si="5"/>
        <v>0</v>
      </c>
      <c r="V19" s="17">
        <f t="shared" si="6"/>
        <v>0</v>
      </c>
      <c r="W19" s="21">
        <f>Tabela2[[#This Row],[Transporte (R$/saca)]]/Tabela2[[#This Row],[Preço (R$/saca) - Paranaguá]]</f>
        <v>0.22484183803356012</v>
      </c>
      <c r="X19">
        <f>INDEX(L:L,MATCH(Tabela2[[#This Row],[Chave-Colheita]],C:C,0),1)</f>
        <v>10.806123577730933</v>
      </c>
      <c r="Y19" s="1">
        <f>Tabela2[[#This Row],[Transporte (R$/saca)]]/Tabela1[[#This Row],[Transporte (R$/saca)_Colheita]]</f>
        <v>1</v>
      </c>
      <c r="Z19" s="1">
        <f>Tabela2[[#This Row],[Preço (R$/saca) - Paranaguá]]/Tabela2[[#This Row],[Preço (R$/saca)_Época da Colheita]]</f>
        <v>1</v>
      </c>
    </row>
    <row r="20" spans="1:26" x14ac:dyDescent="0.25">
      <c r="A20" s="7">
        <v>2008</v>
      </c>
      <c r="B20" s="2">
        <v>4</v>
      </c>
      <c r="C20" s="2" t="str">
        <f t="shared" si="7"/>
        <v>4-2008</v>
      </c>
      <c r="D20" s="13">
        <v>39539</v>
      </c>
      <c r="E20" s="2">
        <v>27.700952380952383</v>
      </c>
      <c r="F20" s="2">
        <v>46.722380952380945</v>
      </c>
      <c r="G20" s="2">
        <f t="shared" si="0"/>
        <v>1.6866705631575325</v>
      </c>
      <c r="H20" s="6">
        <f>INDEX('Taxa de Juros (Ano)'!C:C,MATCH(Base!A20,'Taxa de Juros (Ano)'!A:A,0),1)</f>
        <v>9.8499999999999994E-3</v>
      </c>
      <c r="I20" s="9" t="str">
        <f t="shared" si="1"/>
        <v>3-2008</v>
      </c>
      <c r="J20" s="2">
        <f t="shared" si="8"/>
        <v>48.061</v>
      </c>
      <c r="K20" s="1">
        <f t="shared" si="9"/>
        <v>0.47340084999999998</v>
      </c>
      <c r="L20">
        <v>8.9059175738586447</v>
      </c>
      <c r="M20">
        <f t="shared" si="10"/>
        <v>1</v>
      </c>
      <c r="N20" s="12" t="str">
        <f t="shared" si="2"/>
        <v>1-2008</v>
      </c>
      <c r="Q20">
        <f>INDEX(SIARMA!D:D,MATCH(Base!M20,SIARMA!A:A,0),1)</f>
        <v>0.92800000000000016</v>
      </c>
      <c r="R20" s="2">
        <f t="shared" si="3"/>
        <v>36.415062528522306</v>
      </c>
      <c r="S20" s="2">
        <f t="shared" si="4"/>
        <v>-0.83981389374675786</v>
      </c>
      <c r="U20" s="17">
        <f t="shared" si="5"/>
        <v>0</v>
      </c>
      <c r="V20" s="17">
        <f t="shared" si="6"/>
        <v>-0.83981389374675786</v>
      </c>
      <c r="W20" s="21">
        <f>Tabela2[[#This Row],[Transporte (R$/saca)]]/Tabela2[[#This Row],[Preço (R$/saca) - Paranaguá]]</f>
        <v>0.190613521663964</v>
      </c>
      <c r="X20">
        <f>INDEX(L:L,MATCH(Tabela2[[#This Row],[Chave-Colheita]],C:C,0),1)</f>
        <v>10.806123577730933</v>
      </c>
      <c r="Y20" s="1">
        <f>Tabela2[[#This Row],[Transporte (R$/saca)]]/Tabela1[[#This Row],[Transporte (R$/saca)_Colheita]]</f>
        <v>0.82415470356195086</v>
      </c>
      <c r="Z20" s="1">
        <f>Tabela2[[#This Row],[Preço (R$/saca) - Paranaguá]]/Tabela2[[#This Row],[Preço (R$/saca)_Época da Colheita]]</f>
        <v>0.97214749906121278</v>
      </c>
    </row>
    <row r="21" spans="1:26" x14ac:dyDescent="0.25">
      <c r="A21" s="7">
        <v>2008</v>
      </c>
      <c r="B21" s="2">
        <v>5</v>
      </c>
      <c r="C21" s="2" t="str">
        <f t="shared" si="7"/>
        <v>5-2008</v>
      </c>
      <c r="D21" s="13">
        <v>39569</v>
      </c>
      <c r="E21" s="2">
        <v>28.118999999999993</v>
      </c>
      <c r="F21" s="2">
        <v>46.654000000000011</v>
      </c>
      <c r="G21" s="2">
        <f t="shared" si="0"/>
        <v>1.6591628436288639</v>
      </c>
      <c r="H21" s="6">
        <f>INDEX('Taxa de Juros (Ano)'!C:C,MATCH(Base!A21,'Taxa de Juros (Ano)'!A:A,0),1)</f>
        <v>9.8499999999999994E-3</v>
      </c>
      <c r="I21" s="9" t="str">
        <f t="shared" si="1"/>
        <v>3-2008</v>
      </c>
      <c r="J21" s="2">
        <f t="shared" si="8"/>
        <v>48.061</v>
      </c>
      <c r="K21" s="1">
        <f t="shared" si="9"/>
        <v>0.94680169999999997</v>
      </c>
      <c r="L21">
        <v>9.3436933854273398</v>
      </c>
      <c r="M21">
        <f t="shared" si="10"/>
        <v>2</v>
      </c>
      <c r="N21" s="12" t="str">
        <f t="shared" si="2"/>
        <v>2-2008</v>
      </c>
      <c r="Q21">
        <f>INDEX(SIARMA!D:D,MATCH(Base!M21,SIARMA!A:A,0),1)</f>
        <v>1.0149999999999999</v>
      </c>
      <c r="R21" s="2">
        <f t="shared" si="3"/>
        <v>35.348504914572665</v>
      </c>
      <c r="S21" s="2">
        <f t="shared" si="4"/>
        <v>-1.9063715076963987</v>
      </c>
      <c r="U21" s="17">
        <f t="shared" si="5"/>
        <v>0</v>
      </c>
      <c r="V21" s="17">
        <f t="shared" si="6"/>
        <v>-1.9063715076963987</v>
      </c>
      <c r="W21" s="21">
        <f>Tabela2[[#This Row],[Transporte (R$/saca)]]/Tabela2[[#This Row],[Preço (R$/saca) - Paranaguá]]</f>
        <v>0.20027636184308609</v>
      </c>
      <c r="X21">
        <f>INDEX(L:L,MATCH(Tabela2[[#This Row],[Chave-Colheita]],C:C,0),1)</f>
        <v>10.806123577730933</v>
      </c>
      <c r="Y21" s="1">
        <f>Tabela2[[#This Row],[Transporte (R$/saca)]]/Tabela1[[#This Row],[Transporte (R$/saca)_Colheita]]</f>
        <v>0.86466653080690814</v>
      </c>
      <c r="Z21" s="1">
        <f>Tabela2[[#This Row],[Preço (R$/saca) - Paranaguá]]/Tabela2[[#This Row],[Preço (R$/saca)_Época da Colheita]]</f>
        <v>0.97072470402197231</v>
      </c>
    </row>
    <row r="22" spans="1:26" x14ac:dyDescent="0.25">
      <c r="A22" s="7">
        <v>2008</v>
      </c>
      <c r="B22" s="2">
        <v>6</v>
      </c>
      <c r="C22" s="2" t="str">
        <f t="shared" si="7"/>
        <v>6-2008</v>
      </c>
      <c r="D22" s="13">
        <v>39600</v>
      </c>
      <c r="E22" s="2">
        <v>32.358571428571437</v>
      </c>
      <c r="F22" s="2">
        <v>52.353333333333325</v>
      </c>
      <c r="G22" s="2">
        <f t="shared" si="0"/>
        <v>1.6179123806160134</v>
      </c>
      <c r="H22" s="6">
        <f>INDEX('Taxa de Juros (Ano)'!C:C,MATCH(Base!A22,'Taxa de Juros (Ano)'!A:A,0),1)</f>
        <v>9.8499999999999994E-3</v>
      </c>
      <c r="I22" s="9" t="str">
        <f t="shared" si="1"/>
        <v>3-2008</v>
      </c>
      <c r="J22" s="2">
        <f t="shared" si="8"/>
        <v>48.061</v>
      </c>
      <c r="K22" s="1">
        <f t="shared" si="9"/>
        <v>1.42020255</v>
      </c>
      <c r="L22">
        <v>9.3006405648419772</v>
      </c>
      <c r="M22">
        <f t="shared" si="10"/>
        <v>3</v>
      </c>
      <c r="N22" s="12" t="str">
        <f t="shared" si="2"/>
        <v>3-2008</v>
      </c>
      <c r="Q22">
        <f>INDEX(SIARMA!D:D,MATCH(Base!M22,SIARMA!A:A,0),1)</f>
        <v>1.1523333333333334</v>
      </c>
      <c r="R22" s="2">
        <f t="shared" si="3"/>
        <v>40.480156885158017</v>
      </c>
      <c r="S22" s="2">
        <f t="shared" si="4"/>
        <v>3.2252804628889535</v>
      </c>
      <c r="U22" s="17">
        <f t="shared" si="5"/>
        <v>3.2252804628889535</v>
      </c>
      <c r="V22" s="17">
        <f t="shared" si="6"/>
        <v>0</v>
      </c>
      <c r="W22" s="21">
        <f>Tabela2[[#This Row],[Transporte (R$/saca)]]/Tabela2[[#This Row],[Preço (R$/saca) - Paranaguá]]</f>
        <v>0.17765135422466533</v>
      </c>
      <c r="X22">
        <f>INDEX(L:L,MATCH(Tabela2[[#This Row],[Chave-Colheita]],C:C,0),1)</f>
        <v>10.806123577730933</v>
      </c>
      <c r="Y22" s="1">
        <f>Tabela2[[#This Row],[Transporte (R$/saca)]]/Tabela1[[#This Row],[Transporte (R$/saca)_Colheita]]</f>
        <v>0.86068241751450736</v>
      </c>
      <c r="Z22" s="1">
        <f>Tabela2[[#This Row],[Preço (R$/saca) - Paranaguá]]/Tabela2[[#This Row],[Preço (R$/saca)_Época da Colheita]]</f>
        <v>1.0893101128427067</v>
      </c>
    </row>
    <row r="23" spans="1:26" x14ac:dyDescent="0.25">
      <c r="A23" s="7">
        <v>2008</v>
      </c>
      <c r="B23" s="2">
        <v>7</v>
      </c>
      <c r="C23" s="2" t="str">
        <f t="shared" si="7"/>
        <v>7-2008</v>
      </c>
      <c r="D23" s="13">
        <v>39630</v>
      </c>
      <c r="E23" s="2">
        <v>33.277391304347823</v>
      </c>
      <c r="F23" s="2">
        <v>52.961739130434779</v>
      </c>
      <c r="G23" s="2">
        <f t="shared" si="0"/>
        <v>1.5915231649638089</v>
      </c>
      <c r="H23" s="6">
        <f>INDEX('Taxa de Juros (Ano)'!C:C,MATCH(Base!A23,'Taxa de Juros (Ano)'!A:A,0),1)</f>
        <v>9.8499999999999994E-3</v>
      </c>
      <c r="I23" s="9" t="str">
        <f t="shared" si="1"/>
        <v>3-2008</v>
      </c>
      <c r="J23" s="2">
        <f t="shared" si="8"/>
        <v>48.061</v>
      </c>
      <c r="K23" s="1">
        <f t="shared" si="9"/>
        <v>1.8936033999999999</v>
      </c>
      <c r="L23">
        <v>9.6197040862654362</v>
      </c>
      <c r="M23">
        <f t="shared" si="10"/>
        <v>4</v>
      </c>
      <c r="N23" s="12" t="str">
        <f t="shared" si="2"/>
        <v>4-2008</v>
      </c>
      <c r="Q23">
        <f>INDEX(SIARMA!D:D,MATCH(Base!M23,SIARMA!A:A,0),1)</f>
        <v>1.289666666666667</v>
      </c>
      <c r="R23" s="2">
        <f t="shared" si="3"/>
        <v>40.15876497750267</v>
      </c>
      <c r="S23" s="2">
        <f t="shared" si="4"/>
        <v>2.9038885552336069</v>
      </c>
      <c r="U23" s="17">
        <f t="shared" si="5"/>
        <v>2.9038885552336069</v>
      </c>
      <c r="V23" s="17">
        <f t="shared" si="6"/>
        <v>0</v>
      </c>
      <c r="W23" s="21">
        <f>Tabela2[[#This Row],[Transporte (R$/saca)]]/Tabela2[[#This Row],[Preço (R$/saca) - Paranaguá]]</f>
        <v>0.181634973552774</v>
      </c>
      <c r="X23">
        <f>INDEX(L:L,MATCH(Tabela2[[#This Row],[Chave-Colheita]],C:C,0),1)</f>
        <v>10.806123577730933</v>
      </c>
      <c r="Y23" s="1">
        <f>Tabela2[[#This Row],[Transporte (R$/saca)]]/Tabela1[[#This Row],[Transporte (R$/saca)_Colheita]]</f>
        <v>0.89020859488314119</v>
      </c>
      <c r="Z23" s="1">
        <f>Tabela2[[#This Row],[Preço (R$/saca) - Paranaguá]]/Tabela2[[#This Row],[Preço (R$/saca)_Época da Colheita]]</f>
        <v>1.1019691460942298</v>
      </c>
    </row>
    <row r="24" spans="1:26" x14ac:dyDescent="0.25">
      <c r="A24" s="7">
        <v>2008</v>
      </c>
      <c r="B24" s="2">
        <v>8</v>
      </c>
      <c r="C24" s="2" t="str">
        <f t="shared" si="7"/>
        <v>8-2008</v>
      </c>
      <c r="D24" s="13">
        <v>39661</v>
      </c>
      <c r="E24" s="2">
        <v>29.039047619047622</v>
      </c>
      <c r="F24" s="2">
        <v>46.838571428571427</v>
      </c>
      <c r="G24" s="2">
        <f t="shared" si="0"/>
        <v>1.6129513626971892</v>
      </c>
      <c r="H24" s="6">
        <f>INDEX('Taxa de Juros (Ano)'!C:C,MATCH(Base!A24,'Taxa de Juros (Ano)'!A:A,0),1)</f>
        <v>9.8499999999999994E-3</v>
      </c>
      <c r="I24" s="9" t="str">
        <f t="shared" si="1"/>
        <v>3-2008</v>
      </c>
      <c r="J24" s="2">
        <f t="shared" si="8"/>
        <v>48.061</v>
      </c>
      <c r="K24" s="1">
        <f t="shared" si="9"/>
        <v>2.3670042499999999</v>
      </c>
      <c r="L24">
        <v>9.612579560554753</v>
      </c>
      <c r="M24">
        <f t="shared" si="10"/>
        <v>5</v>
      </c>
      <c r="N24" s="12" t="str">
        <f t="shared" si="2"/>
        <v>5-2008</v>
      </c>
      <c r="Q24">
        <f>INDEX(SIARMA!D:D,MATCH(Base!M24,SIARMA!A:A,0),1)</f>
        <v>1.4270000000000005</v>
      </c>
      <c r="R24" s="2">
        <f t="shared" si="3"/>
        <v>33.43198761801667</v>
      </c>
      <c r="S24" s="2">
        <f t="shared" si="4"/>
        <v>-3.8228888042523934</v>
      </c>
      <c r="U24" s="17">
        <f t="shared" si="5"/>
        <v>0</v>
      </c>
      <c r="V24" s="17">
        <f t="shared" si="6"/>
        <v>-3.8228888042523934</v>
      </c>
      <c r="W24" s="21">
        <f>Tabela2[[#This Row],[Transporte (R$/saca)]]/Tabela2[[#This Row],[Preço (R$/saca) - Paranaguá]]</f>
        <v>0.20522785532035037</v>
      </c>
      <c r="X24">
        <f>INDEX(L:L,MATCH(Tabela2[[#This Row],[Chave-Colheita]],C:C,0),1)</f>
        <v>10.806123577730933</v>
      </c>
      <c r="Y24" s="1">
        <f>Tabela2[[#This Row],[Transporte (R$/saca)]]/Tabela1[[#This Row],[Transporte (R$/saca)_Colheita]]</f>
        <v>0.88954929040087849</v>
      </c>
      <c r="Z24" s="1">
        <f>Tabela2[[#This Row],[Preço (R$/saca) - Paranaguá]]/Tabela2[[#This Row],[Preço (R$/saca)_Época da Colheita]]</f>
        <v>0.9745650616627084</v>
      </c>
    </row>
    <row r="25" spans="1:26" x14ac:dyDescent="0.25">
      <c r="A25" s="7">
        <v>2008</v>
      </c>
      <c r="B25" s="2">
        <v>9</v>
      </c>
      <c r="C25" s="2" t="str">
        <f t="shared" si="7"/>
        <v>9-2008</v>
      </c>
      <c r="D25" s="13">
        <v>39692</v>
      </c>
      <c r="E25" s="2">
        <v>26.798636363636362</v>
      </c>
      <c r="F25" s="2">
        <v>48.140909090909084</v>
      </c>
      <c r="G25" s="2">
        <f t="shared" si="0"/>
        <v>1.7963939820547177</v>
      </c>
      <c r="H25" s="6">
        <f>INDEX('Taxa de Juros (Ano)'!C:C,MATCH(Base!A25,'Taxa de Juros (Ano)'!A:A,0),1)</f>
        <v>9.8499999999999994E-3</v>
      </c>
      <c r="I25" s="9" t="str">
        <f t="shared" si="1"/>
        <v>3-2008</v>
      </c>
      <c r="J25" s="2">
        <f t="shared" si="8"/>
        <v>48.061</v>
      </c>
      <c r="K25" s="1">
        <f t="shared" si="9"/>
        <v>2.8404050999999999</v>
      </c>
      <c r="L25">
        <v>9.3879383811632557</v>
      </c>
      <c r="M25">
        <f t="shared" si="10"/>
        <v>6</v>
      </c>
      <c r="N25" s="12" t="str">
        <f t="shared" si="2"/>
        <v>6-2008</v>
      </c>
      <c r="Q25">
        <f>INDEX(SIARMA!D:D,MATCH(Base!M25,SIARMA!A:A,0),1)</f>
        <v>1.5643333333333338</v>
      </c>
      <c r="R25" s="2">
        <f t="shared" si="3"/>
        <v>34.348232276412503</v>
      </c>
      <c r="S25" s="2">
        <f t="shared" si="4"/>
        <v>-2.9066441458565606</v>
      </c>
      <c r="U25" s="17">
        <f t="shared" si="5"/>
        <v>0</v>
      </c>
      <c r="V25" s="17">
        <f t="shared" si="6"/>
        <v>-2.9066441458565606</v>
      </c>
      <c r="W25" s="21">
        <f>Tabela2[[#This Row],[Transporte (R$/saca)]]/Tabela2[[#This Row],[Preço (R$/saca) - Paranaguá]]</f>
        <v>0.19500957830761181</v>
      </c>
      <c r="X25">
        <f>INDEX(L:L,MATCH(Tabela2[[#This Row],[Chave-Colheita]],C:C,0),1)</f>
        <v>10.806123577730933</v>
      </c>
      <c r="Y25" s="1">
        <f>Tabela2[[#This Row],[Transporte (R$/saca)]]/Tabela1[[#This Row],[Transporte (R$/saca)_Colheita]]</f>
        <v>0.86876096813382298</v>
      </c>
      <c r="Z25" s="1">
        <f>Tabela2[[#This Row],[Preço (R$/saca) - Paranaguá]]/Tabela2[[#This Row],[Preço (R$/saca)_Época da Colheita]]</f>
        <v>1.0016626597638227</v>
      </c>
    </row>
    <row r="26" spans="1:26" x14ac:dyDescent="0.25">
      <c r="A26" s="7">
        <v>2008</v>
      </c>
      <c r="B26" s="2">
        <v>10</v>
      </c>
      <c r="C26" s="2" t="str">
        <f t="shared" si="7"/>
        <v>10-2008</v>
      </c>
      <c r="D26" s="13">
        <v>39722</v>
      </c>
      <c r="E26" s="2">
        <v>21.433913043478263</v>
      </c>
      <c r="F26" s="2">
        <v>46.653478260869562</v>
      </c>
      <c r="G26" s="2">
        <f t="shared" si="0"/>
        <v>2.17661974116597</v>
      </c>
      <c r="H26" s="6">
        <f>INDEX('Taxa de Juros (Ano)'!C:C,MATCH(Base!A26,'Taxa de Juros (Ano)'!A:A,0),1)</f>
        <v>9.8499999999999994E-3</v>
      </c>
      <c r="I26" s="9" t="str">
        <f t="shared" si="1"/>
        <v>3-2008</v>
      </c>
      <c r="J26" s="2">
        <f t="shared" si="8"/>
        <v>48.061</v>
      </c>
      <c r="K26" s="1">
        <f t="shared" si="9"/>
        <v>3.3138059499999999</v>
      </c>
      <c r="L26">
        <v>9.2689475294474235</v>
      </c>
      <c r="M26">
        <f t="shared" si="10"/>
        <v>7</v>
      </c>
      <c r="N26" s="12" t="str">
        <f t="shared" si="2"/>
        <v>7-2008</v>
      </c>
      <c r="Q26">
        <f>INDEX(SIARMA!D:D,MATCH(Base!M26,SIARMA!A:A,0),1)</f>
        <v>1.7016666666666673</v>
      </c>
      <c r="R26" s="2">
        <f t="shared" si="3"/>
        <v>32.369058114755468</v>
      </c>
      <c r="S26" s="2">
        <f t="shared" si="4"/>
        <v>-4.8858183075135955</v>
      </c>
      <c r="U26" s="17">
        <f t="shared" si="5"/>
        <v>0</v>
      </c>
      <c r="V26" s="17">
        <f t="shared" si="6"/>
        <v>-4.8858183075135955</v>
      </c>
      <c r="W26" s="21">
        <f>Tabela2[[#This Row],[Transporte (R$/saca)]]/Tabela2[[#This Row],[Preço (R$/saca) - Paranaguá]]</f>
        <v>0.19867645189537175</v>
      </c>
      <c r="X26">
        <f>INDEX(L:L,MATCH(Tabela2[[#This Row],[Chave-Colheita]],C:C,0),1)</f>
        <v>10.806123577730933</v>
      </c>
      <c r="Y26" s="1">
        <f>Tabela2[[#This Row],[Transporte (R$/saca)]]/Tabela1[[#This Row],[Transporte (R$/saca)_Colheita]]</f>
        <v>0.85774954013562321</v>
      </c>
      <c r="Z26" s="1">
        <f>Tabela2[[#This Row],[Preço (R$/saca) - Paranaguá]]/Tabela2[[#This Row],[Preço (R$/saca)_Época da Colheita]]</f>
        <v>0.97071384825262819</v>
      </c>
    </row>
    <row r="27" spans="1:26" x14ac:dyDescent="0.25">
      <c r="A27" s="7">
        <v>2008</v>
      </c>
      <c r="B27" s="2">
        <v>11</v>
      </c>
      <c r="C27" s="2" t="str">
        <f t="shared" si="7"/>
        <v>11-2008</v>
      </c>
      <c r="D27" s="13">
        <v>39753</v>
      </c>
      <c r="E27" s="2">
        <v>20.831499999999998</v>
      </c>
      <c r="F27" s="2">
        <v>47.320499999999996</v>
      </c>
      <c r="G27" s="2">
        <f t="shared" si="0"/>
        <v>2.2715838993831459</v>
      </c>
      <c r="H27" s="6">
        <f>INDEX('Taxa de Juros (Ano)'!C:C,MATCH(Base!A27,'Taxa de Juros (Ano)'!A:A,0),1)</f>
        <v>9.8499999999999994E-3</v>
      </c>
      <c r="I27" s="9" t="str">
        <f t="shared" si="1"/>
        <v>3-2008</v>
      </c>
      <c r="J27" s="2">
        <f t="shared" si="8"/>
        <v>48.061</v>
      </c>
      <c r="K27" s="1">
        <f t="shared" si="9"/>
        <v>3.7872067999999999</v>
      </c>
      <c r="L27">
        <v>9.3884271999839797</v>
      </c>
      <c r="M27">
        <f t="shared" si="10"/>
        <v>8</v>
      </c>
      <c r="N27" s="12" t="str">
        <f t="shared" si="2"/>
        <v>8-2008</v>
      </c>
      <c r="Q27">
        <f>INDEX(SIARMA!D:D,MATCH(Base!M27,SIARMA!A:A,0),1)</f>
        <v>1.8390000000000011</v>
      </c>
      <c r="R27" s="2">
        <f t="shared" si="3"/>
        <v>32.305866000016017</v>
      </c>
      <c r="S27" s="2">
        <f t="shared" si="4"/>
        <v>-4.9490104222530462</v>
      </c>
      <c r="U27" s="17">
        <f t="shared" si="5"/>
        <v>0</v>
      </c>
      <c r="V27" s="17">
        <f t="shared" si="6"/>
        <v>-4.9490104222530462</v>
      </c>
      <c r="W27" s="21">
        <f>Tabela2[[#This Row],[Transporte (R$/saca)]]/Tabela2[[#This Row],[Preço (R$/saca) - Paranaguá]]</f>
        <v>0.19840084529926735</v>
      </c>
      <c r="X27">
        <f>INDEX(L:L,MATCH(Tabela2[[#This Row],[Chave-Colheita]],C:C,0),1)</f>
        <v>10.806123577730933</v>
      </c>
      <c r="Y27" s="1">
        <f>Tabela2[[#This Row],[Transporte (R$/saca)]]/Tabela1[[#This Row],[Transporte (R$/saca)_Colheita]]</f>
        <v>0.86880620348738968</v>
      </c>
      <c r="Z27" s="1">
        <f>Tabela2[[#This Row],[Preço (R$/saca) - Paranaguá]]/Tabela2[[#This Row],[Preço (R$/saca)_Época da Colheita]]</f>
        <v>0.98459249703501794</v>
      </c>
    </row>
    <row r="28" spans="1:26" x14ac:dyDescent="0.25">
      <c r="A28" s="7">
        <v>2008</v>
      </c>
      <c r="B28" s="2">
        <v>12</v>
      </c>
      <c r="C28" s="2" t="str">
        <f t="shared" si="7"/>
        <v>12-2008</v>
      </c>
      <c r="D28" s="13">
        <v>39783</v>
      </c>
      <c r="E28" s="2">
        <v>19.474499999999999</v>
      </c>
      <c r="F28" s="2">
        <v>46.731999999999992</v>
      </c>
      <c r="G28" s="2">
        <f t="shared" si="0"/>
        <v>2.3996508254383935</v>
      </c>
      <c r="H28" s="6">
        <f>INDEX('Taxa de Juros (Ano)'!C:C,MATCH(Base!A28,'Taxa de Juros (Ano)'!A:A,0),1)</f>
        <v>9.8499999999999994E-3</v>
      </c>
      <c r="I28" s="9" t="str">
        <f t="shared" si="1"/>
        <v>3-2008</v>
      </c>
      <c r="J28" s="2">
        <f t="shared" si="8"/>
        <v>48.061</v>
      </c>
      <c r="K28" s="1">
        <f t="shared" si="9"/>
        <v>4.2606076499999999</v>
      </c>
      <c r="L28">
        <v>9.5393578714058496</v>
      </c>
      <c r="M28">
        <f t="shared" si="10"/>
        <v>9</v>
      </c>
      <c r="N28" s="12" t="str">
        <f t="shared" si="2"/>
        <v>9-2008</v>
      </c>
      <c r="Q28">
        <f>INDEX(SIARMA!D:D,MATCH(Base!M28,SIARMA!A:A,0),1)</f>
        <v>1.9763333333333346</v>
      </c>
      <c r="R28" s="2">
        <f t="shared" si="3"/>
        <v>30.955701145260807</v>
      </c>
      <c r="S28" s="2">
        <f t="shared" si="4"/>
        <v>-6.2991752770082563</v>
      </c>
      <c r="U28" s="17">
        <f t="shared" si="5"/>
        <v>0</v>
      </c>
      <c r="V28" s="17">
        <f t="shared" si="6"/>
        <v>-6.2991752770082563</v>
      </c>
      <c r="W28" s="21">
        <f>Tabela2[[#This Row],[Transporte (R$/saca)]]/Tabela2[[#This Row],[Preço (R$/saca) - Paranaguá]]</f>
        <v>0.20412903088688375</v>
      </c>
      <c r="X28">
        <f>INDEX(L:L,MATCH(Tabela2[[#This Row],[Chave-Colheita]],C:C,0),1)</f>
        <v>10.806123577730933</v>
      </c>
      <c r="Y28" s="1">
        <f>Tabela2[[#This Row],[Transporte (R$/saca)]]/Tabela1[[#This Row],[Transporte (R$/saca)_Colheita]]</f>
        <v>0.88277334631489768</v>
      </c>
      <c r="Z28" s="1">
        <f>Tabela2[[#This Row],[Preço (R$/saca) - Paranaguá]]/Tabela2[[#This Row],[Preço (R$/saca)_Época da Colheita]]</f>
        <v>0.97234764153887754</v>
      </c>
    </row>
    <row r="29" spans="1:26" x14ac:dyDescent="0.25">
      <c r="A29" s="7">
        <v>2009</v>
      </c>
      <c r="B29" s="2">
        <v>1</v>
      </c>
      <c r="C29" s="2" t="str">
        <f t="shared" si="7"/>
        <v>1-2009</v>
      </c>
      <c r="D29" s="13">
        <v>39814</v>
      </c>
      <c r="E29" s="2">
        <v>22.083809523809521</v>
      </c>
      <c r="F29" s="2">
        <v>51.01761904761905</v>
      </c>
      <c r="G29" s="2">
        <f t="shared" si="0"/>
        <v>2.3101819906848373</v>
      </c>
      <c r="H29" s="6">
        <f>INDEX('Taxa de Juros (Ano)'!C:C,MATCH(Base!A29,'Taxa de Juros (Ano)'!A:A,0),1)</f>
        <v>7.9166666666666673E-3</v>
      </c>
      <c r="I29" s="9" t="str">
        <f t="shared" si="1"/>
        <v>3-2009</v>
      </c>
      <c r="J29" s="2">
        <f t="shared" si="8"/>
        <v>47.665000000000006</v>
      </c>
      <c r="K29" s="1">
        <f t="shared" si="9"/>
        <v>0</v>
      </c>
      <c r="L29">
        <v>9.6295003084436797</v>
      </c>
      <c r="M29">
        <f t="shared" si="10"/>
        <v>0</v>
      </c>
      <c r="N29" s="12" t="str">
        <f t="shared" si="2"/>
        <v>0-2009</v>
      </c>
      <c r="Q29">
        <f>INDEX(SIARMA!D:D,MATCH(Base!M29,SIARMA!A:A,0),1)</f>
        <v>0</v>
      </c>
      <c r="R29" s="2">
        <f t="shared" si="3"/>
        <v>0</v>
      </c>
      <c r="S29" s="2">
        <f t="shared" si="4"/>
        <v>0</v>
      </c>
      <c r="U29" s="17">
        <f t="shared" si="5"/>
        <v>0</v>
      </c>
      <c r="V29" s="17">
        <f t="shared" si="6"/>
        <v>0</v>
      </c>
      <c r="W29" s="21">
        <f>Tabela2[[#This Row],[Transporte (R$/saca)]]/Tabela2[[#This Row],[Preço (R$/saca) - Paranaguá]]</f>
        <v>0.18874852429815775</v>
      </c>
      <c r="X29">
        <f>INDEX(L:L,MATCH(Tabela2[[#This Row],[Chave-Colheita]],C:C,0),1)</f>
        <v>11.795052152207466</v>
      </c>
      <c r="Y29" s="1">
        <f>Tabela2[[#This Row],[Transporte (R$/saca)]]/Tabela1[[#This Row],[Transporte (R$/saca)_Colheita]]</f>
        <v>0.81640167285241727</v>
      </c>
      <c r="Z29" s="1">
        <f>Tabela2[[#This Row],[Preço (R$/saca) - Paranaguá]]/Tabela2[[#This Row],[Preço (R$/saca)_Época da Colheita]]</f>
        <v>1.0703371246746889</v>
      </c>
    </row>
    <row r="30" spans="1:26" x14ac:dyDescent="0.25">
      <c r="A30" s="7">
        <v>2009</v>
      </c>
      <c r="B30" s="2">
        <v>2</v>
      </c>
      <c r="C30" s="2" t="str">
        <f t="shared" si="7"/>
        <v>2-2009</v>
      </c>
      <c r="D30" s="13">
        <v>39845</v>
      </c>
      <c r="E30" s="2">
        <v>21.303888888888885</v>
      </c>
      <c r="F30" s="2">
        <v>49.236111111111107</v>
      </c>
      <c r="G30" s="2">
        <f t="shared" si="0"/>
        <v>2.3111325527420661</v>
      </c>
      <c r="H30" s="6">
        <f>INDEX('Taxa de Juros (Ano)'!C:C,MATCH(Base!A30,'Taxa de Juros (Ano)'!A:A,0),1)</f>
        <v>7.9166666666666673E-3</v>
      </c>
      <c r="I30" s="9" t="str">
        <f t="shared" si="1"/>
        <v>3-2009</v>
      </c>
      <c r="J30" s="2">
        <f t="shared" si="8"/>
        <v>47.665000000000006</v>
      </c>
      <c r="K30" s="1">
        <f t="shared" si="9"/>
        <v>0</v>
      </c>
      <c r="L30">
        <v>10.521679342193536</v>
      </c>
      <c r="M30">
        <f t="shared" si="10"/>
        <v>0</v>
      </c>
      <c r="N30" s="12" t="str">
        <f t="shared" si="2"/>
        <v>0-2009</v>
      </c>
      <c r="Q30">
        <f>INDEX(SIARMA!D:D,MATCH(Base!M30,SIARMA!A:A,0),1)</f>
        <v>0</v>
      </c>
      <c r="R30" s="2">
        <f t="shared" si="3"/>
        <v>0</v>
      </c>
      <c r="S30" s="2">
        <f t="shared" si="4"/>
        <v>0</v>
      </c>
      <c r="U30" s="17">
        <f t="shared" si="5"/>
        <v>0</v>
      </c>
      <c r="V30" s="17">
        <f t="shared" si="6"/>
        <v>0</v>
      </c>
      <c r="W30" s="21">
        <f>Tabela2[[#This Row],[Transporte (R$/saca)]]/Tabela2[[#This Row],[Preço (R$/saca) - Paranaguá]]</f>
        <v>0.21369842387529892</v>
      </c>
      <c r="X30">
        <f>INDEX(L:L,MATCH(Tabela2[[#This Row],[Chave-Colheita]],C:C,0),1)</f>
        <v>11.795052152207466</v>
      </c>
      <c r="Y30" s="1">
        <f>Tabela2[[#This Row],[Transporte (R$/saca)]]/Tabela1[[#This Row],[Transporte (R$/saca)_Colheita]]</f>
        <v>0.89204178213187335</v>
      </c>
      <c r="Z30" s="1">
        <f>Tabela2[[#This Row],[Preço (R$/saca) - Paranaguá]]/Tabela2[[#This Row],[Preço (R$/saca)_Época da Colheita]]</f>
        <v>1.032961525461263</v>
      </c>
    </row>
    <row r="31" spans="1:26" x14ac:dyDescent="0.25">
      <c r="A31" s="7">
        <v>2009</v>
      </c>
      <c r="B31" s="2">
        <v>3</v>
      </c>
      <c r="C31" s="2" t="str">
        <f t="shared" si="7"/>
        <v>3-2009</v>
      </c>
      <c r="D31" s="13">
        <v>39873</v>
      </c>
      <c r="E31" s="2">
        <v>20.621818181818185</v>
      </c>
      <c r="F31" s="2">
        <v>47.665000000000006</v>
      </c>
      <c r="G31" s="2">
        <f t="shared" si="0"/>
        <v>2.3113868806207019</v>
      </c>
      <c r="H31" s="6">
        <f>INDEX('Taxa de Juros (Ano)'!C:C,MATCH(Base!A31,'Taxa de Juros (Ano)'!A:A,0),1)</f>
        <v>7.9166666666666673E-3</v>
      </c>
      <c r="I31" s="9" t="str">
        <f t="shared" si="1"/>
        <v>3-2009</v>
      </c>
      <c r="J31" s="2">
        <f t="shared" si="8"/>
        <v>47.665000000000006</v>
      </c>
      <c r="K31" s="1">
        <f t="shared" si="9"/>
        <v>0</v>
      </c>
      <c r="L31">
        <v>11.795052152207466</v>
      </c>
      <c r="M31">
        <f t="shared" si="10"/>
        <v>0</v>
      </c>
      <c r="N31" s="12" t="str">
        <f t="shared" si="2"/>
        <v>0-2009</v>
      </c>
      <c r="Q31">
        <f>INDEX(SIARMA!D:D,MATCH(Base!M31,SIARMA!A:A,0),1)</f>
        <v>0</v>
      </c>
      <c r="R31" s="2">
        <f t="shared" si="3"/>
        <v>35.869947847792538</v>
      </c>
      <c r="S31" s="2">
        <f t="shared" si="4"/>
        <v>0</v>
      </c>
      <c r="U31" s="17">
        <f t="shared" si="5"/>
        <v>0</v>
      </c>
      <c r="V31" s="17">
        <f t="shared" si="6"/>
        <v>0</v>
      </c>
      <c r="W31" s="21">
        <f>Tabela2[[#This Row],[Transporte (R$/saca)]]/Tabela2[[#This Row],[Preço (R$/saca) - Paranaguá]]</f>
        <v>0.24745729890291546</v>
      </c>
      <c r="X31">
        <f>INDEX(L:L,MATCH(Tabela2[[#This Row],[Chave-Colheita]],C:C,0),1)</f>
        <v>11.795052152207466</v>
      </c>
      <c r="Y31" s="1">
        <f>Tabela2[[#This Row],[Transporte (R$/saca)]]/Tabela1[[#This Row],[Transporte (R$/saca)_Colheita]]</f>
        <v>1</v>
      </c>
      <c r="Z31" s="1">
        <f>Tabela2[[#This Row],[Preço (R$/saca) - Paranaguá]]/Tabela2[[#This Row],[Preço (R$/saca)_Época da Colheita]]</f>
        <v>1</v>
      </c>
    </row>
    <row r="32" spans="1:26" x14ac:dyDescent="0.25">
      <c r="A32" s="7">
        <v>2009</v>
      </c>
      <c r="B32" s="2">
        <v>4</v>
      </c>
      <c r="C32" s="2" t="str">
        <f t="shared" si="7"/>
        <v>4-2009</v>
      </c>
      <c r="D32" s="13">
        <v>39904</v>
      </c>
      <c r="E32" s="2">
        <v>22.753999999999998</v>
      </c>
      <c r="F32" s="2">
        <v>50.160499999999999</v>
      </c>
      <c r="G32" s="2">
        <f t="shared" si="0"/>
        <v>2.2044695438164719</v>
      </c>
      <c r="H32" s="6">
        <f>INDEX('Taxa de Juros (Ano)'!C:C,MATCH(Base!A32,'Taxa de Juros (Ano)'!A:A,0),1)</f>
        <v>7.9166666666666673E-3</v>
      </c>
      <c r="I32" s="9" t="str">
        <f t="shared" si="1"/>
        <v>3-2009</v>
      </c>
      <c r="J32" s="2">
        <f t="shared" si="8"/>
        <v>47.665000000000006</v>
      </c>
      <c r="K32" s="1">
        <f t="shared" si="9"/>
        <v>0.37734791666666673</v>
      </c>
      <c r="L32">
        <v>11.054360197906846</v>
      </c>
      <c r="M32">
        <f t="shared" si="10"/>
        <v>1</v>
      </c>
      <c r="N32" s="12" t="str">
        <f t="shared" si="2"/>
        <v>1-2009</v>
      </c>
      <c r="Q32">
        <f>INDEX(SIARMA!D:D,MATCH(Base!M32,SIARMA!A:A,0),1)</f>
        <v>0.92800000000000016</v>
      </c>
      <c r="R32" s="2">
        <f t="shared" si="3"/>
        <v>37.800791885426491</v>
      </c>
      <c r="S32" s="2">
        <f t="shared" si="4"/>
        <v>1.9308440376339533</v>
      </c>
      <c r="U32" s="17">
        <f t="shared" si="5"/>
        <v>1.9308440376339533</v>
      </c>
      <c r="V32" s="17">
        <f t="shared" si="6"/>
        <v>0</v>
      </c>
      <c r="W32" s="21">
        <f>Tabela2[[#This Row],[Transporte (R$/saca)]]/Tabela2[[#This Row],[Preço (R$/saca) - Paranaguá]]</f>
        <v>0.22037978484877235</v>
      </c>
      <c r="X32">
        <f>INDEX(L:L,MATCH(Tabela2[[#This Row],[Chave-Colheita]],C:C,0),1)</f>
        <v>11.795052152207466</v>
      </c>
      <c r="Y32" s="1">
        <f>Tabela2[[#This Row],[Transporte (R$/saca)]]/Tabela1[[#This Row],[Transporte (R$/saca)_Colheita]]</f>
        <v>0.93720316411131777</v>
      </c>
      <c r="Z32" s="1">
        <f>Tabela2[[#This Row],[Preço (R$/saca) - Paranaguá]]/Tabela2[[#This Row],[Preço (R$/saca)_Época da Colheita]]</f>
        <v>1.0523549774467638</v>
      </c>
    </row>
    <row r="33" spans="1:26" x14ac:dyDescent="0.25">
      <c r="A33" s="7">
        <v>2009</v>
      </c>
      <c r="B33" s="2">
        <v>5</v>
      </c>
      <c r="C33" s="2" t="str">
        <f t="shared" si="7"/>
        <v>5-2009</v>
      </c>
      <c r="D33" s="13">
        <v>39934</v>
      </c>
      <c r="E33" s="2">
        <v>25.613999999999997</v>
      </c>
      <c r="F33" s="2">
        <v>52.781000000000006</v>
      </c>
      <c r="G33" s="2">
        <f t="shared" si="0"/>
        <v>2.0606309049738427</v>
      </c>
      <c r="H33" s="6">
        <f>INDEX('Taxa de Juros (Ano)'!C:C,MATCH(Base!A33,'Taxa de Juros (Ano)'!A:A,0),1)</f>
        <v>7.9166666666666673E-3</v>
      </c>
      <c r="I33" s="9" t="str">
        <f t="shared" si="1"/>
        <v>3-2009</v>
      </c>
      <c r="J33" s="2">
        <f t="shared" si="8"/>
        <v>47.665000000000006</v>
      </c>
      <c r="K33" s="1">
        <f t="shared" si="9"/>
        <v>0.75469583333333345</v>
      </c>
      <c r="L33">
        <v>10.461566268781963</v>
      </c>
      <c r="M33">
        <f t="shared" si="10"/>
        <v>2</v>
      </c>
      <c r="N33" s="12" t="str">
        <f t="shared" si="2"/>
        <v>2-2009</v>
      </c>
      <c r="Q33">
        <f>INDEX(SIARMA!D:D,MATCH(Base!M33,SIARMA!A:A,0),1)</f>
        <v>1.0149999999999999</v>
      </c>
      <c r="R33" s="2">
        <f t="shared" si="3"/>
        <v>40.549737897884704</v>
      </c>
      <c r="S33" s="2">
        <f t="shared" si="4"/>
        <v>4.6797900500921656</v>
      </c>
      <c r="U33" s="17">
        <f t="shared" si="5"/>
        <v>4.6797900500921656</v>
      </c>
      <c r="V33" s="17">
        <f t="shared" si="6"/>
        <v>0</v>
      </c>
      <c r="W33" s="21">
        <f>Tabela2[[#This Row],[Transporte (R$/saca)]]/Tabela2[[#This Row],[Preço (R$/saca) - Paranaguá]]</f>
        <v>0.19820704929391186</v>
      </c>
      <c r="X33">
        <f>INDEX(L:L,MATCH(Tabela2[[#This Row],[Chave-Colheita]],C:C,0),1)</f>
        <v>11.795052152207466</v>
      </c>
      <c r="Y33" s="1">
        <f>Tabela2[[#This Row],[Transporte (R$/saca)]]/Tabela1[[#This Row],[Transporte (R$/saca)_Colheita]]</f>
        <v>0.88694531688222011</v>
      </c>
      <c r="Z33" s="1">
        <f>Tabela2[[#This Row],[Preço (R$/saca) - Paranaguá]]/Tabela2[[#This Row],[Preço (R$/saca)_Época da Colheita]]</f>
        <v>1.1073324242106368</v>
      </c>
    </row>
    <row r="34" spans="1:26" x14ac:dyDescent="0.25">
      <c r="A34" s="7">
        <v>2009</v>
      </c>
      <c r="B34" s="2">
        <v>6</v>
      </c>
      <c r="C34" s="2" t="str">
        <f t="shared" si="7"/>
        <v>6-2009</v>
      </c>
      <c r="D34" s="13">
        <v>39965</v>
      </c>
      <c r="E34" s="2">
        <v>26.729047619047616</v>
      </c>
      <c r="F34" s="2">
        <v>52.368095238095236</v>
      </c>
      <c r="G34" s="2">
        <f t="shared" si="0"/>
        <v>1.9592203951470668</v>
      </c>
      <c r="H34" s="6">
        <f>INDEX('Taxa de Juros (Ano)'!C:C,MATCH(Base!A34,'Taxa de Juros (Ano)'!A:A,0),1)</f>
        <v>7.9166666666666673E-3</v>
      </c>
      <c r="I34" s="9" t="str">
        <f t="shared" si="1"/>
        <v>3-2009</v>
      </c>
      <c r="J34" s="2">
        <f t="shared" si="8"/>
        <v>47.665000000000006</v>
      </c>
      <c r="K34" s="1">
        <f t="shared" si="9"/>
        <v>1.1320437500000002</v>
      </c>
      <c r="L34">
        <v>10.589585754987908</v>
      </c>
      <c r="M34">
        <f t="shared" si="10"/>
        <v>3</v>
      </c>
      <c r="N34" s="12" t="str">
        <f t="shared" si="2"/>
        <v>3-2009</v>
      </c>
      <c r="Q34">
        <f>INDEX(SIARMA!D:D,MATCH(Base!M34,SIARMA!A:A,0),1)</f>
        <v>1.1523333333333334</v>
      </c>
      <c r="R34" s="2">
        <f t="shared" si="3"/>
        <v>39.494132399773996</v>
      </c>
      <c r="S34" s="2">
        <f t="shared" si="4"/>
        <v>3.6241845519814575</v>
      </c>
      <c r="U34" s="17">
        <f t="shared" si="5"/>
        <v>3.6241845519814575</v>
      </c>
      <c r="V34" s="17">
        <f t="shared" si="6"/>
        <v>0</v>
      </c>
      <c r="W34" s="21">
        <f>Tabela2[[#This Row],[Transporte (R$/saca)]]/Tabela2[[#This Row],[Preço (R$/saca) - Paranaguá]]</f>
        <v>0.20221445341560754</v>
      </c>
      <c r="X34">
        <f>INDEX(L:L,MATCH(Tabela2[[#This Row],[Chave-Colheita]],C:C,0),1)</f>
        <v>11.795052152207466</v>
      </c>
      <c r="Y34" s="1">
        <f>Tabela2[[#This Row],[Transporte (R$/saca)]]/Tabela1[[#This Row],[Transporte (R$/saca)_Colheita]]</f>
        <v>0.8977989769215261</v>
      </c>
      <c r="Z34" s="1">
        <f>Tabela2[[#This Row],[Preço (R$/saca) - Paranaguá]]/Tabela2[[#This Row],[Preço (R$/saca)_Época da Colheita]]</f>
        <v>1.0986697836587691</v>
      </c>
    </row>
    <row r="35" spans="1:26" x14ac:dyDescent="0.25">
      <c r="A35" s="7">
        <v>2009</v>
      </c>
      <c r="B35" s="2">
        <v>7</v>
      </c>
      <c r="C35" s="2" t="str">
        <f t="shared" si="7"/>
        <v>7-2009</v>
      </c>
      <c r="D35" s="13">
        <v>39995</v>
      </c>
      <c r="E35" s="2">
        <v>25.85521739130435</v>
      </c>
      <c r="F35" s="2">
        <v>49.935217391304334</v>
      </c>
      <c r="G35" s="2">
        <f t="shared" si="0"/>
        <v>1.9313400709637272</v>
      </c>
      <c r="H35" s="6">
        <f>INDEX('Taxa de Juros (Ano)'!C:C,MATCH(Base!A35,'Taxa de Juros (Ano)'!A:A,0),1)</f>
        <v>7.9166666666666673E-3</v>
      </c>
      <c r="I35" s="9" t="str">
        <f t="shared" si="1"/>
        <v>3-2009</v>
      </c>
      <c r="J35" s="2">
        <f t="shared" si="8"/>
        <v>47.665000000000006</v>
      </c>
      <c r="K35" s="1">
        <f t="shared" si="9"/>
        <v>1.5093916666666669</v>
      </c>
      <c r="L35">
        <v>9.9646921123308481</v>
      </c>
      <c r="M35">
        <f t="shared" si="10"/>
        <v>4</v>
      </c>
      <c r="N35" s="12" t="str">
        <f t="shared" si="2"/>
        <v>4-2009</v>
      </c>
      <c r="Q35">
        <f>INDEX(SIARMA!D:D,MATCH(Base!M35,SIARMA!A:A,0),1)</f>
        <v>1.289666666666667</v>
      </c>
      <c r="R35" s="2">
        <f t="shared" si="3"/>
        <v>37.171466945640155</v>
      </c>
      <c r="S35" s="2">
        <f t="shared" si="4"/>
        <v>1.301519097847617</v>
      </c>
      <c r="U35" s="17">
        <f t="shared" si="5"/>
        <v>1.301519097847617</v>
      </c>
      <c r="V35" s="17">
        <f t="shared" si="6"/>
        <v>0</v>
      </c>
      <c r="W35" s="21">
        <f>Tabela2[[#This Row],[Transporte (R$/saca)]]/Tabela2[[#This Row],[Preço (R$/saca) - Paranaguá]]</f>
        <v>0.19955239273807765</v>
      </c>
      <c r="X35">
        <f>INDEX(L:L,MATCH(Tabela2[[#This Row],[Chave-Colheita]],C:C,0),1)</f>
        <v>11.795052152207466</v>
      </c>
      <c r="Y35" s="1">
        <f>Tabela2[[#This Row],[Transporte (R$/saca)]]/Tabela1[[#This Row],[Transporte (R$/saca)_Colheita]]</f>
        <v>0.84481967385501866</v>
      </c>
      <c r="Z35" s="1">
        <f>Tabela2[[#This Row],[Preço (R$/saca) - Paranaguá]]/Tabela2[[#This Row],[Preço (R$/saca)_Época da Colheita]]</f>
        <v>1.0476286036149025</v>
      </c>
    </row>
    <row r="36" spans="1:26" x14ac:dyDescent="0.25">
      <c r="A36" s="7">
        <v>2009</v>
      </c>
      <c r="B36" s="2">
        <v>8</v>
      </c>
      <c r="C36" s="2" t="str">
        <f t="shared" si="7"/>
        <v>8-2009</v>
      </c>
      <c r="D36" s="13">
        <v>40026</v>
      </c>
      <c r="E36" s="2">
        <v>27.117142857142849</v>
      </c>
      <c r="F36" s="2">
        <v>50.058095238095241</v>
      </c>
      <c r="G36" s="2">
        <f t="shared" si="0"/>
        <v>1.8459944508832937</v>
      </c>
      <c r="H36" s="6">
        <f>INDEX('Taxa de Juros (Ano)'!C:C,MATCH(Base!A36,'Taxa de Juros (Ano)'!A:A,0),1)</f>
        <v>7.9166666666666673E-3</v>
      </c>
      <c r="I36" s="9" t="str">
        <f t="shared" si="1"/>
        <v>3-2009</v>
      </c>
      <c r="J36" s="2">
        <f t="shared" si="8"/>
        <v>47.665000000000006</v>
      </c>
      <c r="K36" s="1">
        <f t="shared" si="9"/>
        <v>1.8867395833333336</v>
      </c>
      <c r="L36">
        <v>9.1887013574480285</v>
      </c>
      <c r="M36">
        <f t="shared" si="10"/>
        <v>5</v>
      </c>
      <c r="N36" s="12" t="str">
        <f t="shared" si="2"/>
        <v>5-2009</v>
      </c>
      <c r="Q36">
        <f>INDEX(SIARMA!D:D,MATCH(Base!M36,SIARMA!A:A,0),1)</f>
        <v>1.4270000000000005</v>
      </c>
      <c r="R36" s="2">
        <f t="shared" si="3"/>
        <v>37.555654297313886</v>
      </c>
      <c r="S36" s="2">
        <f t="shared" si="4"/>
        <v>1.6857064495213478</v>
      </c>
      <c r="U36" s="17">
        <f t="shared" si="5"/>
        <v>1.6857064495213478</v>
      </c>
      <c r="V36" s="17">
        <f t="shared" si="6"/>
        <v>0</v>
      </c>
      <c r="W36" s="21">
        <f>Tabela2[[#This Row],[Transporte (R$/saca)]]/Tabela2[[#This Row],[Preço (R$/saca) - Paranaguá]]</f>
        <v>0.18356074704287265</v>
      </c>
      <c r="X36">
        <f>INDEX(L:L,MATCH(Tabela2[[#This Row],[Chave-Colheita]],C:C,0),1)</f>
        <v>11.795052152207466</v>
      </c>
      <c r="Y36" s="1">
        <f>Tabela2[[#This Row],[Transporte (R$/saca)]]/Tabela1[[#This Row],[Transporte (R$/saca)_Colheita]]</f>
        <v>0.77903015933069408</v>
      </c>
      <c r="Z36" s="1">
        <f>Tabela2[[#This Row],[Preço (R$/saca) - Paranaguá]]/Tabela2[[#This Row],[Preço (R$/saca)_Época da Colheita]]</f>
        <v>1.0502065506785951</v>
      </c>
    </row>
    <row r="37" spans="1:26" x14ac:dyDescent="0.25">
      <c r="A37" s="7">
        <v>2009</v>
      </c>
      <c r="B37" s="2">
        <v>9</v>
      </c>
      <c r="C37" s="2" t="str">
        <f t="shared" si="7"/>
        <v>9-2009</v>
      </c>
      <c r="D37" s="13">
        <v>40057</v>
      </c>
      <c r="E37" s="2">
        <v>25.42761904761905</v>
      </c>
      <c r="F37" s="2">
        <v>46.266666666666666</v>
      </c>
      <c r="G37" s="2">
        <f t="shared" ref="G37:G68" si="11">F37/E37</f>
        <v>1.8195438031386941</v>
      </c>
      <c r="H37" s="6">
        <f>INDEX('Taxa de Juros (Ano)'!C:C,MATCH(Base!A37,'Taxa de Juros (Ano)'!A:A,0),1)</f>
        <v>7.9166666666666673E-3</v>
      </c>
      <c r="I37" s="9" t="str">
        <f t="shared" ref="I37:I68" si="12">CONCATENATE($B$1,"-",A37)</f>
        <v>3-2009</v>
      </c>
      <c r="J37" s="2">
        <f t="shared" ref="J37:J68" si="13">INDEX($F$4:$F$124,MATCH(I37,$C$4:$C$124,0),1)</f>
        <v>47.665000000000006</v>
      </c>
      <c r="K37" s="1">
        <f t="shared" ref="K37:K68" si="14">J37*H37*M37</f>
        <v>2.2640875000000005</v>
      </c>
      <c r="L37">
        <v>9.1366586017536395</v>
      </c>
      <c r="M37">
        <f t="shared" si="10"/>
        <v>6</v>
      </c>
      <c r="N37" s="12" t="str">
        <f t="shared" ref="N37:N68" si="15">CONCATENATE(M37,"-",A37)</f>
        <v>6-2009</v>
      </c>
      <c r="Q37">
        <f>INDEX(SIARMA!D:D,MATCH(Base!M37,SIARMA!A:A,0),1)</f>
        <v>1.5643333333333338</v>
      </c>
      <c r="R37" s="2">
        <f t="shared" ref="R37:R68" si="16">IF(B37&lt;$B$1,0,F37-Q37-L37-K37)</f>
        <v>33.301587231579688</v>
      </c>
      <c r="S37" s="2">
        <f t="shared" ref="S37:S68" si="17">IF(R37=0,0,R37-(J37-X37))</f>
        <v>-2.5683606162128498</v>
      </c>
      <c r="U37" s="17">
        <f t="shared" ref="U37:U68" si="18">IF(S37&gt;0,S37,0)</f>
        <v>0</v>
      </c>
      <c r="V37" s="17">
        <f t="shared" ref="V37:V68" si="19">IF(S37&lt;0,S37,0)</f>
        <v>-2.5683606162128498</v>
      </c>
      <c r="W37" s="21">
        <f>Tabela2[[#This Row],[Transporte (R$/saca)]]/Tabela2[[#This Row],[Preço (R$/saca) - Paranaguá]]</f>
        <v>0.19747821185346484</v>
      </c>
      <c r="X37">
        <f>INDEX(L:L,MATCH(Tabela2[[#This Row],[Chave-Colheita]],C:C,0),1)</f>
        <v>11.795052152207466</v>
      </c>
      <c r="Y37" s="1">
        <f>Tabela2[[#This Row],[Transporte (R$/saca)]]/Tabela1[[#This Row],[Transporte (R$/saca)_Colheita]]</f>
        <v>0.77461790620770565</v>
      </c>
      <c r="Z37" s="1">
        <f>Tabela2[[#This Row],[Preço (R$/saca) - Paranaguá]]/Tabela2[[#This Row],[Preço (R$/saca)_Época da Colheita]]</f>
        <v>0.97066330990594063</v>
      </c>
    </row>
    <row r="38" spans="1:26" x14ac:dyDescent="0.25">
      <c r="A38" s="7">
        <v>2009</v>
      </c>
      <c r="B38" s="2">
        <v>10</v>
      </c>
      <c r="C38" s="2" t="str">
        <f t="shared" si="7"/>
        <v>10-2009</v>
      </c>
      <c r="D38" s="13">
        <v>40087</v>
      </c>
      <c r="E38" s="2">
        <v>25.309047619047618</v>
      </c>
      <c r="F38" s="2">
        <v>43.962380952380947</v>
      </c>
      <c r="G38" s="2">
        <f t="shared" si="11"/>
        <v>1.7370223334399517</v>
      </c>
      <c r="H38" s="6">
        <f>INDEX('Taxa de Juros (Ano)'!C:C,MATCH(Base!A38,'Taxa de Juros (Ano)'!A:A,0),1)</f>
        <v>7.9166666666666673E-3</v>
      </c>
      <c r="I38" s="9" t="str">
        <f t="shared" si="12"/>
        <v>3-2009</v>
      </c>
      <c r="J38" s="2">
        <f t="shared" si="13"/>
        <v>47.665000000000006</v>
      </c>
      <c r="K38" s="1">
        <f t="shared" si="14"/>
        <v>2.6414354166666669</v>
      </c>
      <c r="L38">
        <v>9.8003156549014179</v>
      </c>
      <c r="M38">
        <f t="shared" si="10"/>
        <v>7</v>
      </c>
      <c r="N38" s="12" t="str">
        <f t="shared" si="15"/>
        <v>7-2009</v>
      </c>
      <c r="Q38">
        <f>INDEX(SIARMA!D:D,MATCH(Base!M38,SIARMA!A:A,0),1)</f>
        <v>1.7016666666666673</v>
      </c>
      <c r="R38" s="2">
        <f t="shared" si="16"/>
        <v>29.818963214146194</v>
      </c>
      <c r="S38" s="2">
        <f t="shared" si="17"/>
        <v>-6.050984633646344</v>
      </c>
      <c r="U38" s="17">
        <f t="shared" si="18"/>
        <v>0</v>
      </c>
      <c r="V38" s="17">
        <f t="shared" si="19"/>
        <v>-6.050984633646344</v>
      </c>
      <c r="W38" s="21">
        <f>Tabela2[[#This Row],[Transporte (R$/saca)]]/Tabela2[[#This Row],[Preço (R$/saca) - Paranaguá]]</f>
        <v>0.22292504278867192</v>
      </c>
      <c r="X38">
        <f>INDEX(L:L,MATCH(Tabela2[[#This Row],[Chave-Colheita]],C:C,0),1)</f>
        <v>11.795052152207466</v>
      </c>
      <c r="Y38" s="1">
        <f>Tabela2[[#This Row],[Transporte (R$/saca)]]/Tabela1[[#This Row],[Transporte (R$/saca)_Colheita]]</f>
        <v>0.83088362208447464</v>
      </c>
      <c r="Z38" s="1">
        <f>Tabela2[[#This Row],[Preço (R$/saca) - Paranaguá]]/Tabela2[[#This Row],[Preço (R$/saca)_Época da Colheita]]</f>
        <v>0.92231996123740567</v>
      </c>
    </row>
    <row r="39" spans="1:26" x14ac:dyDescent="0.25">
      <c r="A39" s="7">
        <v>2009</v>
      </c>
      <c r="B39" s="2">
        <v>11</v>
      </c>
      <c r="C39" s="2" t="str">
        <f t="shared" si="7"/>
        <v>11-2009</v>
      </c>
      <c r="D39" s="13">
        <v>40118</v>
      </c>
      <c r="E39" s="2">
        <v>24.314499999999999</v>
      </c>
      <c r="F39" s="2">
        <v>42.012</v>
      </c>
      <c r="G39" s="2">
        <f t="shared" si="11"/>
        <v>1.7278578625922805</v>
      </c>
      <c r="H39" s="6">
        <f>INDEX('Taxa de Juros (Ano)'!C:C,MATCH(Base!A39,'Taxa de Juros (Ano)'!A:A,0),1)</f>
        <v>7.9166666666666673E-3</v>
      </c>
      <c r="I39" s="9" t="str">
        <f t="shared" si="12"/>
        <v>3-2009</v>
      </c>
      <c r="J39" s="2">
        <f t="shared" si="13"/>
        <v>47.665000000000006</v>
      </c>
      <c r="K39" s="1">
        <f t="shared" si="14"/>
        <v>3.0187833333333338</v>
      </c>
      <c r="L39">
        <v>9.5770212085113808</v>
      </c>
      <c r="M39">
        <f t="shared" si="10"/>
        <v>8</v>
      </c>
      <c r="N39" s="12" t="str">
        <f t="shared" si="15"/>
        <v>8-2009</v>
      </c>
      <c r="Q39">
        <f>INDEX(SIARMA!D:D,MATCH(Base!M39,SIARMA!A:A,0),1)</f>
        <v>1.8390000000000011</v>
      </c>
      <c r="R39" s="2">
        <f t="shared" si="16"/>
        <v>27.577195458155284</v>
      </c>
      <c r="S39" s="2">
        <f t="shared" si="17"/>
        <v>-8.2927523896372541</v>
      </c>
      <c r="U39" s="17">
        <f t="shared" si="18"/>
        <v>0</v>
      </c>
      <c r="V39" s="17">
        <f t="shared" si="19"/>
        <v>-8.2927523896372541</v>
      </c>
      <c r="W39" s="21">
        <f>Tabela2[[#This Row],[Transporte (R$/saca)]]/Tabela2[[#This Row],[Preço (R$/saca) - Paranaguá]]</f>
        <v>0.22795918329313961</v>
      </c>
      <c r="X39">
        <f>INDEX(L:L,MATCH(Tabela2[[#This Row],[Chave-Colheita]],C:C,0),1)</f>
        <v>11.795052152207466</v>
      </c>
      <c r="Y39" s="1">
        <f>Tabela2[[#This Row],[Transporte (R$/saca)]]/Tabela1[[#This Row],[Transporte (R$/saca)_Colheita]]</f>
        <v>0.8119524258923283</v>
      </c>
      <c r="Z39" s="1">
        <f>Tabela2[[#This Row],[Preço (R$/saca) - Paranaguá]]/Tabela2[[#This Row],[Preço (R$/saca)_Época da Colheita]]</f>
        <v>0.88140144760306294</v>
      </c>
    </row>
    <row r="40" spans="1:26" x14ac:dyDescent="0.25">
      <c r="A40" s="7">
        <v>2009</v>
      </c>
      <c r="B40" s="2">
        <v>12</v>
      </c>
      <c r="C40" s="2" t="str">
        <f t="shared" si="7"/>
        <v>12-2009</v>
      </c>
      <c r="D40" s="13">
        <v>40148</v>
      </c>
      <c r="E40" s="2">
        <v>23.639000000000003</v>
      </c>
      <c r="F40" s="2">
        <v>41.386000000000003</v>
      </c>
      <c r="G40" s="2">
        <f t="shared" si="11"/>
        <v>1.7507508777867082</v>
      </c>
      <c r="H40" s="6">
        <f>INDEX('Taxa de Juros (Ano)'!C:C,MATCH(Base!A40,'Taxa de Juros (Ano)'!A:A,0),1)</f>
        <v>7.9166666666666673E-3</v>
      </c>
      <c r="I40" s="9" t="str">
        <f t="shared" si="12"/>
        <v>3-2009</v>
      </c>
      <c r="J40" s="2">
        <f t="shared" si="13"/>
        <v>47.665000000000006</v>
      </c>
      <c r="K40" s="1">
        <f t="shared" si="14"/>
        <v>3.3961312500000007</v>
      </c>
      <c r="L40">
        <v>9.809987428618248</v>
      </c>
      <c r="M40">
        <f t="shared" si="10"/>
        <v>9</v>
      </c>
      <c r="N40" s="12" t="str">
        <f t="shared" si="15"/>
        <v>9-2009</v>
      </c>
      <c r="Q40">
        <f>INDEX(SIARMA!D:D,MATCH(Base!M40,SIARMA!A:A,0),1)</f>
        <v>1.9763333333333346</v>
      </c>
      <c r="R40" s="2">
        <f t="shared" si="16"/>
        <v>26.203547988048417</v>
      </c>
      <c r="S40" s="2">
        <f t="shared" si="17"/>
        <v>-9.6663998597441214</v>
      </c>
      <c r="U40" s="17">
        <f t="shared" si="18"/>
        <v>0</v>
      </c>
      <c r="V40" s="17">
        <f t="shared" si="19"/>
        <v>-9.6663998597441214</v>
      </c>
      <c r="W40" s="21">
        <f>Tabela2[[#This Row],[Transporte (R$/saca)]]/Tabela2[[#This Row],[Preço (R$/saca) - Paranaguá]]</f>
        <v>0.23703637531093238</v>
      </c>
      <c r="X40">
        <f>INDEX(L:L,MATCH(Tabela2[[#This Row],[Chave-Colheita]],C:C,0),1)</f>
        <v>11.795052152207466</v>
      </c>
      <c r="Y40" s="1">
        <f>Tabela2[[#This Row],[Transporte (R$/saca)]]/Tabela1[[#This Row],[Transporte (R$/saca)_Colheita]]</f>
        <v>0.83170360775236507</v>
      </c>
      <c r="Z40" s="1">
        <f>Tabela2[[#This Row],[Preço (R$/saca) - Paranaguá]]/Tabela2[[#This Row],[Preço (R$/saca)_Época da Colheita]]</f>
        <v>0.86826812126298114</v>
      </c>
    </row>
    <row r="41" spans="1:26" x14ac:dyDescent="0.25">
      <c r="A41" s="7">
        <v>2010</v>
      </c>
      <c r="B41" s="2">
        <v>1</v>
      </c>
      <c r="C41" s="2" t="str">
        <f t="shared" si="7"/>
        <v>1-2010</v>
      </c>
      <c r="D41" s="13">
        <v>40179</v>
      </c>
      <c r="E41" s="2">
        <v>22.587</v>
      </c>
      <c r="F41" s="2">
        <v>40.216500000000003</v>
      </c>
      <c r="G41" s="2">
        <f t="shared" si="11"/>
        <v>1.7805153406826937</v>
      </c>
      <c r="H41" s="6">
        <f>INDEX('Taxa de Juros (Ano)'!C:C,MATCH(Base!A41,'Taxa de Juros (Ano)'!A:A,0),1)</f>
        <v>7.8083333333333329E-3</v>
      </c>
      <c r="I41" s="9" t="str">
        <f t="shared" si="12"/>
        <v>3-2010</v>
      </c>
      <c r="J41" s="2">
        <f t="shared" si="13"/>
        <v>37.383913043478266</v>
      </c>
      <c r="K41" s="1">
        <f t="shared" si="14"/>
        <v>0</v>
      </c>
      <c r="L41">
        <v>9.1115018473540506</v>
      </c>
      <c r="M41">
        <f t="shared" si="10"/>
        <v>0</v>
      </c>
      <c r="N41" s="12" t="str">
        <f t="shared" si="15"/>
        <v>0-2010</v>
      </c>
      <c r="Q41">
        <f>INDEX(SIARMA!D:D,MATCH(Base!M41,SIARMA!A:A,0),1)</f>
        <v>0</v>
      </c>
      <c r="R41" s="2">
        <f t="shared" si="16"/>
        <v>0</v>
      </c>
      <c r="S41" s="2">
        <f t="shared" si="17"/>
        <v>0</v>
      </c>
      <c r="U41" s="17">
        <f t="shared" si="18"/>
        <v>0</v>
      </c>
      <c r="V41" s="17">
        <f t="shared" si="19"/>
        <v>0</v>
      </c>
      <c r="W41" s="21">
        <f>Tabela2[[#This Row],[Transporte (R$/saca)]]/Tabela2[[#This Row],[Preço (R$/saca) - Paranaguá]]</f>
        <v>0.22656128323832381</v>
      </c>
      <c r="X41">
        <f>INDEX(L:L,MATCH(Tabela2[[#This Row],[Chave-Colheita]],C:C,0),1)</f>
        <v>11.93427812156914</v>
      </c>
      <c r="Y41" s="1">
        <f>Tabela2[[#This Row],[Transporte (R$/saca)]]/Tabela1[[#This Row],[Transporte (R$/saca)_Colheita]]</f>
        <v>0.76347322850525745</v>
      </c>
      <c r="Z41" s="1">
        <f>Tabela2[[#This Row],[Preço (R$/saca) - Paranaguá]]/Tabela2[[#This Row],[Preço (R$/saca)_Época da Colheita]]</f>
        <v>1.0757702103904259</v>
      </c>
    </row>
    <row r="42" spans="1:26" x14ac:dyDescent="0.25">
      <c r="A42" s="7">
        <v>2010</v>
      </c>
      <c r="B42" s="2">
        <v>2</v>
      </c>
      <c r="C42" s="2" t="str">
        <f t="shared" si="7"/>
        <v>2-2010</v>
      </c>
      <c r="D42" s="13">
        <v>40210</v>
      </c>
      <c r="E42" s="2">
        <v>20.777777777777775</v>
      </c>
      <c r="F42" s="2">
        <v>38.241111111111117</v>
      </c>
      <c r="G42" s="2">
        <f t="shared" si="11"/>
        <v>1.8404812834224604</v>
      </c>
      <c r="H42" s="6">
        <f>INDEX('Taxa de Juros (Ano)'!C:C,MATCH(Base!A42,'Taxa de Juros (Ano)'!A:A,0),1)</f>
        <v>7.8083333333333329E-3</v>
      </c>
      <c r="I42" s="9" t="str">
        <f t="shared" si="12"/>
        <v>3-2010</v>
      </c>
      <c r="J42" s="2">
        <f t="shared" si="13"/>
        <v>37.383913043478266</v>
      </c>
      <c r="K42" s="1">
        <f t="shared" si="14"/>
        <v>0</v>
      </c>
      <c r="L42">
        <v>11.624948288948099</v>
      </c>
      <c r="M42">
        <f t="shared" si="10"/>
        <v>0</v>
      </c>
      <c r="N42" s="12" t="str">
        <f t="shared" si="15"/>
        <v>0-2010</v>
      </c>
      <c r="Q42">
        <f>INDEX(SIARMA!D:D,MATCH(Base!M42,SIARMA!A:A,0),1)</f>
        <v>0</v>
      </c>
      <c r="R42" s="2">
        <f t="shared" si="16"/>
        <v>0</v>
      </c>
      <c r="S42" s="2">
        <f t="shared" si="17"/>
        <v>0</v>
      </c>
      <c r="U42" s="17">
        <f t="shared" si="18"/>
        <v>0</v>
      </c>
      <c r="V42" s="17">
        <f t="shared" si="19"/>
        <v>0</v>
      </c>
      <c r="W42" s="21">
        <f>Tabela2[[#This Row],[Transporte (R$/saca)]]/Tabela2[[#This Row],[Preço (R$/saca) - Paranaguá]]</f>
        <v>0.30399086091330701</v>
      </c>
      <c r="X42">
        <f>INDEX(L:L,MATCH(Tabela2[[#This Row],[Chave-Colheita]],C:C,0),1)</f>
        <v>11.93427812156914</v>
      </c>
      <c r="Y42" s="1">
        <f>Tabela2[[#This Row],[Transporte (R$/saca)]]/Tabela1[[#This Row],[Transporte (R$/saca)_Colheita]]</f>
        <v>0.9740805577455095</v>
      </c>
      <c r="Z42" s="1">
        <f>Tabela2[[#This Row],[Preço (R$/saca) - Paranaguá]]/Tabela2[[#This Row],[Preço (R$/saca)_Época da Colheita]]</f>
        <v>1.0229295971942773</v>
      </c>
    </row>
    <row r="43" spans="1:26" x14ac:dyDescent="0.25">
      <c r="A43" s="7">
        <v>2010</v>
      </c>
      <c r="B43" s="2">
        <v>3</v>
      </c>
      <c r="C43" s="2" t="str">
        <f t="shared" si="7"/>
        <v>3-2010</v>
      </c>
      <c r="D43" s="13">
        <v>40238</v>
      </c>
      <c r="E43" s="2">
        <v>20.929130434782611</v>
      </c>
      <c r="F43" s="2">
        <v>37.383913043478266</v>
      </c>
      <c r="G43" s="2">
        <f t="shared" si="11"/>
        <v>1.786214346552548</v>
      </c>
      <c r="H43" s="6">
        <f>INDEX('Taxa de Juros (Ano)'!C:C,MATCH(Base!A43,'Taxa de Juros (Ano)'!A:A,0),1)</f>
        <v>7.8083333333333329E-3</v>
      </c>
      <c r="I43" s="9" t="str">
        <f t="shared" si="12"/>
        <v>3-2010</v>
      </c>
      <c r="J43" s="2">
        <f t="shared" si="13"/>
        <v>37.383913043478266</v>
      </c>
      <c r="K43" s="1">
        <f t="shared" si="14"/>
        <v>0</v>
      </c>
      <c r="L43">
        <v>11.93427812156914</v>
      </c>
      <c r="M43">
        <f t="shared" si="10"/>
        <v>0</v>
      </c>
      <c r="N43" s="12" t="str">
        <f t="shared" si="15"/>
        <v>0-2010</v>
      </c>
      <c r="Q43">
        <f>INDEX(SIARMA!D:D,MATCH(Base!M43,SIARMA!A:A,0),1)</f>
        <v>0</v>
      </c>
      <c r="R43" s="2">
        <f t="shared" si="16"/>
        <v>25.449634921909126</v>
      </c>
      <c r="S43" s="2">
        <f t="shared" si="17"/>
        <v>0</v>
      </c>
      <c r="U43" s="17">
        <f t="shared" si="18"/>
        <v>0</v>
      </c>
      <c r="V43" s="17">
        <f t="shared" si="19"/>
        <v>0</v>
      </c>
      <c r="W43" s="21">
        <f>Tabela2[[#This Row],[Transporte (R$/saca)]]/Tabela2[[#This Row],[Preço (R$/saca) - Paranaguá]]</f>
        <v>0.31923565913737617</v>
      </c>
      <c r="X43">
        <f>INDEX(L:L,MATCH(Tabela2[[#This Row],[Chave-Colheita]],C:C,0),1)</f>
        <v>11.93427812156914</v>
      </c>
      <c r="Y43" s="1">
        <f>Tabela2[[#This Row],[Transporte (R$/saca)]]/Tabela1[[#This Row],[Transporte (R$/saca)_Colheita]]</f>
        <v>1</v>
      </c>
      <c r="Z43" s="1">
        <f>Tabela2[[#This Row],[Preço (R$/saca) - Paranaguá]]/Tabela2[[#This Row],[Preço (R$/saca)_Época da Colheita]]</f>
        <v>1</v>
      </c>
    </row>
    <row r="44" spans="1:26" x14ac:dyDescent="0.25">
      <c r="A44" s="7">
        <v>2010</v>
      </c>
      <c r="B44" s="2">
        <v>4</v>
      </c>
      <c r="C44" s="2" t="str">
        <f t="shared" si="7"/>
        <v>4-2010</v>
      </c>
      <c r="D44" s="13">
        <v>40269</v>
      </c>
      <c r="E44" s="2">
        <v>21.302000000000003</v>
      </c>
      <c r="F44" s="2">
        <v>37.433999999999997</v>
      </c>
      <c r="G44" s="2">
        <f t="shared" si="11"/>
        <v>1.7572997840578346</v>
      </c>
      <c r="H44" s="6">
        <f>INDEX('Taxa de Juros (Ano)'!C:C,MATCH(Base!A44,'Taxa de Juros (Ano)'!A:A,0),1)</f>
        <v>7.8083333333333329E-3</v>
      </c>
      <c r="I44" s="9" t="str">
        <f t="shared" si="12"/>
        <v>3-2010</v>
      </c>
      <c r="J44" s="2">
        <f t="shared" si="13"/>
        <v>37.383913043478266</v>
      </c>
      <c r="K44" s="1">
        <f t="shared" si="14"/>
        <v>0.29190605434782613</v>
      </c>
      <c r="L44">
        <v>11.62307295823695</v>
      </c>
      <c r="M44">
        <f t="shared" si="10"/>
        <v>1</v>
      </c>
      <c r="N44" s="12" t="str">
        <f t="shared" si="15"/>
        <v>1-2010</v>
      </c>
      <c r="Q44">
        <f>INDEX(SIARMA!D:D,MATCH(Base!M44,SIARMA!A:A,0),1)</f>
        <v>0.92800000000000016</v>
      </c>
      <c r="R44" s="2">
        <f t="shared" si="16"/>
        <v>24.591020987415224</v>
      </c>
      <c r="S44" s="2">
        <f t="shared" si="17"/>
        <v>-0.85861393449390278</v>
      </c>
      <c r="U44" s="17">
        <f t="shared" si="18"/>
        <v>0</v>
      </c>
      <c r="V44" s="17">
        <f t="shared" si="19"/>
        <v>-0.85861393449390278</v>
      </c>
      <c r="W44" s="21">
        <f>Tabela2[[#This Row],[Transporte (R$/saca)]]/Tabela2[[#This Row],[Preço (R$/saca) - Paranaguá]]</f>
        <v>0.31049508356672945</v>
      </c>
      <c r="X44">
        <f>INDEX(L:L,MATCH(Tabela2[[#This Row],[Chave-Colheita]],C:C,0),1)</f>
        <v>11.93427812156914</v>
      </c>
      <c r="Y44" s="1">
        <f>Tabela2[[#This Row],[Transporte (R$/saca)]]/Tabela1[[#This Row],[Transporte (R$/saca)_Colheita]]</f>
        <v>0.97392341956823181</v>
      </c>
      <c r="Z44" s="1">
        <f>Tabela2[[#This Row],[Preço (R$/saca) - Paranaguá]]/Tabela2[[#This Row],[Preço (R$/saca)_Época da Colheita]]</f>
        <v>1.001339799727853</v>
      </c>
    </row>
    <row r="45" spans="1:26" x14ac:dyDescent="0.25">
      <c r="A45" s="7">
        <v>2010</v>
      </c>
      <c r="B45" s="2">
        <v>5</v>
      </c>
      <c r="C45" s="2" t="str">
        <f t="shared" si="7"/>
        <v>5-2010</v>
      </c>
      <c r="D45" s="13">
        <v>40299</v>
      </c>
      <c r="E45" s="2">
        <v>21.145238095238096</v>
      </c>
      <c r="F45" s="2">
        <v>38.397619047619045</v>
      </c>
      <c r="G45" s="2">
        <f t="shared" si="11"/>
        <v>1.8158991104605335</v>
      </c>
      <c r="H45" s="6">
        <f>INDEX('Taxa de Juros (Ano)'!C:C,MATCH(Base!A45,'Taxa de Juros (Ano)'!A:A,0),1)</f>
        <v>7.8083333333333329E-3</v>
      </c>
      <c r="I45" s="9" t="str">
        <f t="shared" si="12"/>
        <v>3-2010</v>
      </c>
      <c r="J45" s="2">
        <f t="shared" si="13"/>
        <v>37.383913043478266</v>
      </c>
      <c r="K45" s="1">
        <f t="shared" si="14"/>
        <v>0.58381210869565225</v>
      </c>
      <c r="L45">
        <v>11.934110949229147</v>
      </c>
      <c r="M45">
        <f t="shared" si="10"/>
        <v>2</v>
      </c>
      <c r="N45" s="12" t="str">
        <f t="shared" si="15"/>
        <v>2-2010</v>
      </c>
      <c r="Q45">
        <f>INDEX(SIARMA!D:D,MATCH(Base!M45,SIARMA!A:A,0),1)</f>
        <v>1.0149999999999999</v>
      </c>
      <c r="R45" s="2">
        <f t="shared" si="16"/>
        <v>24.864695989694244</v>
      </c>
      <c r="S45" s="2">
        <f t="shared" si="17"/>
        <v>-0.58493893221488236</v>
      </c>
      <c r="U45" s="17">
        <f t="shared" si="18"/>
        <v>0</v>
      </c>
      <c r="V45" s="17">
        <f t="shared" si="19"/>
        <v>-0.58493893221488236</v>
      </c>
      <c r="W45" s="21">
        <f>Tabela2[[#This Row],[Transporte (R$/saca)]]/Tabela2[[#This Row],[Preço (R$/saca) - Paranaguá]]</f>
        <v>0.31080341034763082</v>
      </c>
      <c r="X45">
        <f>INDEX(L:L,MATCH(Tabela2[[#This Row],[Chave-Colheita]],C:C,0),1)</f>
        <v>11.93427812156914</v>
      </c>
      <c r="Y45" s="1">
        <f>Tabela2[[#This Row],[Transporte (R$/saca)]]/Tabela1[[#This Row],[Transporte (R$/saca)_Colheita]]</f>
        <v>0.99998599225371743</v>
      </c>
      <c r="Z45" s="1">
        <f>Tabela2[[#This Row],[Preço (R$/saca) - Paranaguá]]/Tabela2[[#This Row],[Preço (R$/saca)_Época da Colheita]]</f>
        <v>1.0271161021309305</v>
      </c>
    </row>
    <row r="46" spans="1:26" x14ac:dyDescent="0.25">
      <c r="A46" s="7">
        <v>2010</v>
      </c>
      <c r="B46" s="2">
        <v>6</v>
      </c>
      <c r="C46" s="2" t="str">
        <f t="shared" si="7"/>
        <v>6-2010</v>
      </c>
      <c r="D46" s="13">
        <v>40330</v>
      </c>
      <c r="E46" s="2">
        <v>21.508571428571425</v>
      </c>
      <c r="F46" s="2">
        <v>38.908095238095243</v>
      </c>
      <c r="G46" s="2">
        <f t="shared" si="11"/>
        <v>1.8089576691462987</v>
      </c>
      <c r="H46" s="6">
        <f>INDEX('Taxa de Juros (Ano)'!C:C,MATCH(Base!A46,'Taxa de Juros (Ano)'!A:A,0),1)</f>
        <v>7.8083333333333329E-3</v>
      </c>
      <c r="I46" s="9" t="str">
        <f t="shared" si="12"/>
        <v>3-2010</v>
      </c>
      <c r="J46" s="2">
        <f t="shared" si="13"/>
        <v>37.383913043478266</v>
      </c>
      <c r="K46" s="1">
        <f t="shared" si="14"/>
        <v>0.87571816304347838</v>
      </c>
      <c r="L46">
        <v>11.591903164644071</v>
      </c>
      <c r="M46">
        <f t="shared" si="10"/>
        <v>3</v>
      </c>
      <c r="N46" s="12" t="str">
        <f t="shared" si="15"/>
        <v>3-2010</v>
      </c>
      <c r="Q46">
        <f>INDEX(SIARMA!D:D,MATCH(Base!M46,SIARMA!A:A,0),1)</f>
        <v>1.1523333333333334</v>
      </c>
      <c r="R46" s="2">
        <f t="shared" si="16"/>
        <v>25.288140577074358</v>
      </c>
      <c r="S46" s="2">
        <f t="shared" si="17"/>
        <v>-0.1614943448347681</v>
      </c>
      <c r="U46" s="17">
        <f t="shared" si="18"/>
        <v>0</v>
      </c>
      <c r="V46" s="17">
        <f t="shared" si="19"/>
        <v>-0.1614943448347681</v>
      </c>
      <c r="W46" s="21">
        <f>Tabela2[[#This Row],[Transporte (R$/saca)]]/Tabela2[[#This Row],[Preço (R$/saca) - Paranaguá]]</f>
        <v>0.29793036882705948</v>
      </c>
      <c r="X46">
        <f>INDEX(L:L,MATCH(Tabela2[[#This Row],[Chave-Colheita]],C:C,0),1)</f>
        <v>11.93427812156914</v>
      </c>
      <c r="Y46" s="1">
        <f>Tabela2[[#This Row],[Transporte (R$/saca)]]/Tabela1[[#This Row],[Transporte (R$/saca)_Colheita]]</f>
        <v>0.97131163247265995</v>
      </c>
      <c r="Z46" s="1">
        <f>Tabela2[[#This Row],[Preço (R$/saca) - Paranaguá]]/Tabela2[[#This Row],[Preço (R$/saca)_Época da Colheita]]</f>
        <v>1.0407710715794871</v>
      </c>
    </row>
    <row r="47" spans="1:26" x14ac:dyDescent="0.25">
      <c r="A47" s="7">
        <v>2010</v>
      </c>
      <c r="B47" s="2">
        <v>7</v>
      </c>
      <c r="C47" s="2" t="str">
        <f t="shared" si="7"/>
        <v>7-2010</v>
      </c>
      <c r="D47" s="13">
        <v>40360</v>
      </c>
      <c r="E47" s="2">
        <v>23.37045454545455</v>
      </c>
      <c r="F47" s="2">
        <v>41.365909090909092</v>
      </c>
      <c r="G47" s="2">
        <f t="shared" si="11"/>
        <v>1.7700087523096371</v>
      </c>
      <c r="H47" s="6">
        <f>INDEX('Taxa de Juros (Ano)'!C:C,MATCH(Base!A47,'Taxa de Juros (Ano)'!A:A,0),1)</f>
        <v>7.8083333333333329E-3</v>
      </c>
      <c r="I47" s="9" t="str">
        <f t="shared" si="12"/>
        <v>3-2010</v>
      </c>
      <c r="J47" s="2">
        <f t="shared" si="13"/>
        <v>37.383913043478266</v>
      </c>
      <c r="K47" s="1">
        <f t="shared" si="14"/>
        <v>1.1676242173913045</v>
      </c>
      <c r="L47">
        <v>11.184685386502414</v>
      </c>
      <c r="M47">
        <f t="shared" si="10"/>
        <v>4</v>
      </c>
      <c r="N47" s="12" t="str">
        <f t="shared" si="15"/>
        <v>4-2010</v>
      </c>
      <c r="Q47">
        <f>INDEX(SIARMA!D:D,MATCH(Base!M47,SIARMA!A:A,0),1)</f>
        <v>1.289666666666667</v>
      </c>
      <c r="R47" s="2">
        <f t="shared" si="16"/>
        <v>27.723932820348704</v>
      </c>
      <c r="S47" s="2">
        <f t="shared" si="17"/>
        <v>2.2742978984395776</v>
      </c>
      <c r="U47" s="17">
        <f t="shared" si="18"/>
        <v>2.2742978984395776</v>
      </c>
      <c r="V47" s="17">
        <f t="shared" si="19"/>
        <v>0</v>
      </c>
      <c r="W47" s="21">
        <f>Tabela2[[#This Row],[Transporte (R$/saca)]]/Tabela2[[#This Row],[Preço (R$/saca) - Paranaguá]]</f>
        <v>0.2703841310950531</v>
      </c>
      <c r="X47">
        <f>INDEX(L:L,MATCH(Tabela2[[#This Row],[Chave-Colheita]],C:C,0),1)</f>
        <v>11.93427812156914</v>
      </c>
      <c r="Y47" s="1">
        <f>Tabela2[[#This Row],[Transporte (R$/saca)]]/Tabela1[[#This Row],[Transporte (R$/saca)_Colheita]]</f>
        <v>0.93718993914579829</v>
      </c>
      <c r="Z47" s="1">
        <f>Tabela2[[#This Row],[Preço (R$/saca) - Paranaguá]]/Tabela2[[#This Row],[Preço (R$/saca)_Época da Colheita]]</f>
        <v>1.1065162986763768</v>
      </c>
    </row>
    <row r="48" spans="1:26" x14ac:dyDescent="0.25">
      <c r="A48" s="7">
        <v>2010</v>
      </c>
      <c r="B48" s="2">
        <v>8</v>
      </c>
      <c r="C48" s="2" t="str">
        <f t="shared" si="7"/>
        <v>8-2010</v>
      </c>
      <c r="D48" s="13">
        <v>40391</v>
      </c>
      <c r="E48" s="2">
        <v>24.909545454545455</v>
      </c>
      <c r="F48" s="2">
        <v>43.834545454545449</v>
      </c>
      <c r="G48" s="2">
        <f t="shared" si="11"/>
        <v>1.7597489096914287</v>
      </c>
      <c r="H48" s="6">
        <f>INDEX('Taxa de Juros (Ano)'!C:C,MATCH(Base!A48,'Taxa de Juros (Ano)'!A:A,0),1)</f>
        <v>7.8083333333333329E-3</v>
      </c>
      <c r="I48" s="9" t="str">
        <f t="shared" si="12"/>
        <v>3-2010</v>
      </c>
      <c r="J48" s="2">
        <f t="shared" si="13"/>
        <v>37.383913043478266</v>
      </c>
      <c r="K48" s="1">
        <f t="shared" si="14"/>
        <v>1.4595302717391307</v>
      </c>
      <c r="L48">
        <v>11.567255445579697</v>
      </c>
      <c r="M48">
        <f t="shared" si="10"/>
        <v>5</v>
      </c>
      <c r="N48" s="12" t="str">
        <f t="shared" si="15"/>
        <v>5-2010</v>
      </c>
      <c r="Q48">
        <f>INDEX(SIARMA!D:D,MATCH(Base!M48,SIARMA!A:A,0),1)</f>
        <v>1.4270000000000005</v>
      </c>
      <c r="R48" s="2">
        <f t="shared" si="16"/>
        <v>29.380759737226622</v>
      </c>
      <c r="S48" s="2">
        <f t="shared" si="17"/>
        <v>3.9311248153174958</v>
      </c>
      <c r="U48" s="17">
        <f t="shared" si="18"/>
        <v>3.9311248153174958</v>
      </c>
      <c r="V48" s="17">
        <f t="shared" si="19"/>
        <v>0</v>
      </c>
      <c r="W48" s="21">
        <f>Tabela2[[#This Row],[Transporte (R$/saca)]]/Tabela2[[#This Row],[Preço (R$/saca) - Paranaguá]]</f>
        <v>0.26388446202948418</v>
      </c>
      <c r="X48">
        <f>INDEX(L:L,MATCH(Tabela2[[#This Row],[Chave-Colheita]],C:C,0),1)</f>
        <v>11.93427812156914</v>
      </c>
      <c r="Y48" s="1">
        <f>Tabela2[[#This Row],[Transporte (R$/saca)]]/Tabela1[[#This Row],[Transporte (R$/saca)_Colheita]]</f>
        <v>0.96924634466779247</v>
      </c>
      <c r="Z48" s="1">
        <f>Tabela2[[#This Row],[Preço (R$/saca) - Paranaguá]]/Tabela2[[#This Row],[Preço (R$/saca)_Época da Colheita]]</f>
        <v>1.1725510222422399</v>
      </c>
    </row>
    <row r="49" spans="1:26" x14ac:dyDescent="0.25">
      <c r="A49" s="7">
        <v>2010</v>
      </c>
      <c r="B49" s="2">
        <v>9</v>
      </c>
      <c r="C49" s="2" t="str">
        <f t="shared" si="7"/>
        <v>9-2010</v>
      </c>
      <c r="D49" s="13">
        <v>40422</v>
      </c>
      <c r="E49" s="2">
        <v>26.034761904761901</v>
      </c>
      <c r="F49" s="2">
        <v>44.748095238095239</v>
      </c>
      <c r="G49" s="2">
        <f t="shared" si="11"/>
        <v>1.7187825800669438</v>
      </c>
      <c r="H49" s="6">
        <f>INDEX('Taxa de Juros (Ano)'!C:C,MATCH(Base!A49,'Taxa de Juros (Ano)'!A:A,0),1)</f>
        <v>7.8083333333333329E-3</v>
      </c>
      <c r="I49" s="9" t="str">
        <f t="shared" si="12"/>
        <v>3-2010</v>
      </c>
      <c r="J49" s="2">
        <f t="shared" si="13"/>
        <v>37.383913043478266</v>
      </c>
      <c r="K49" s="1">
        <f t="shared" si="14"/>
        <v>1.7514363260869568</v>
      </c>
      <c r="L49">
        <v>11.262705900913687</v>
      </c>
      <c r="M49">
        <f t="shared" si="10"/>
        <v>6</v>
      </c>
      <c r="N49" s="12" t="str">
        <f t="shared" si="15"/>
        <v>6-2010</v>
      </c>
      <c r="Q49">
        <f>INDEX(SIARMA!D:D,MATCH(Base!M49,SIARMA!A:A,0),1)</f>
        <v>1.5643333333333338</v>
      </c>
      <c r="R49" s="2">
        <f t="shared" si="16"/>
        <v>30.169619677761265</v>
      </c>
      <c r="S49" s="2">
        <f t="shared" si="17"/>
        <v>4.7199847558521384</v>
      </c>
      <c r="U49" s="17">
        <f t="shared" si="18"/>
        <v>4.7199847558521384</v>
      </c>
      <c r="V49" s="17">
        <f t="shared" si="19"/>
        <v>0</v>
      </c>
      <c r="W49" s="21">
        <f>Tabela2[[#This Row],[Transporte (R$/saca)]]/Tabela2[[#This Row],[Preço (R$/saca) - Paranaguá]]</f>
        <v>0.25169129190834133</v>
      </c>
      <c r="X49">
        <f>INDEX(L:L,MATCH(Tabela2[[#This Row],[Chave-Colheita]],C:C,0),1)</f>
        <v>11.93427812156914</v>
      </c>
      <c r="Y49" s="1">
        <f>Tabela2[[#This Row],[Transporte (R$/saca)]]/Tabela1[[#This Row],[Transporte (R$/saca)_Colheita]]</f>
        <v>0.94372745349032028</v>
      </c>
      <c r="Z49" s="1">
        <f>Tabela2[[#This Row],[Preço (R$/saca) - Paranaguá]]/Tabela2[[#This Row],[Preço (R$/saca)_Época da Colheita]]</f>
        <v>1.1969879981812572</v>
      </c>
    </row>
    <row r="50" spans="1:26" x14ac:dyDescent="0.25">
      <c r="A50" s="7">
        <v>2010</v>
      </c>
      <c r="B50" s="2">
        <v>10</v>
      </c>
      <c r="C50" s="2" t="str">
        <f t="shared" si="7"/>
        <v>10-2010</v>
      </c>
      <c r="D50" s="13">
        <v>40452</v>
      </c>
      <c r="E50" s="2">
        <v>27.143500000000007</v>
      </c>
      <c r="F50" s="2">
        <v>45.721500000000006</v>
      </c>
      <c r="G50" s="2">
        <f t="shared" si="11"/>
        <v>1.6844364212426546</v>
      </c>
      <c r="H50" s="6">
        <f>INDEX('Taxa de Juros (Ano)'!C:C,MATCH(Base!A50,'Taxa de Juros (Ano)'!A:A,0),1)</f>
        <v>7.8083333333333329E-3</v>
      </c>
      <c r="I50" s="9" t="str">
        <f t="shared" si="12"/>
        <v>3-2010</v>
      </c>
      <c r="J50" s="2">
        <f t="shared" si="13"/>
        <v>37.383913043478266</v>
      </c>
      <c r="K50" s="1">
        <f t="shared" si="14"/>
        <v>2.0433423804347828</v>
      </c>
      <c r="L50">
        <v>11.370600289373119</v>
      </c>
      <c r="M50">
        <f t="shared" si="10"/>
        <v>7</v>
      </c>
      <c r="N50" s="12" t="str">
        <f t="shared" si="15"/>
        <v>7-2010</v>
      </c>
      <c r="Q50">
        <f>INDEX(SIARMA!D:D,MATCH(Base!M50,SIARMA!A:A,0),1)</f>
        <v>1.7016666666666673</v>
      </c>
      <c r="R50" s="2">
        <f t="shared" si="16"/>
        <v>30.60589066352544</v>
      </c>
      <c r="S50" s="2">
        <f t="shared" si="17"/>
        <v>5.1562557416163131</v>
      </c>
      <c r="U50" s="17">
        <f t="shared" si="18"/>
        <v>5.1562557416163131</v>
      </c>
      <c r="V50" s="17">
        <f t="shared" si="19"/>
        <v>0</v>
      </c>
      <c r="W50" s="21">
        <f>Tabela2[[#This Row],[Transporte (R$/saca)]]/Tabela2[[#This Row],[Preço (R$/saca) - Paranaguá]]</f>
        <v>0.24869263452365117</v>
      </c>
      <c r="X50">
        <f>INDEX(L:L,MATCH(Tabela2[[#This Row],[Chave-Colheita]],C:C,0),1)</f>
        <v>11.93427812156914</v>
      </c>
      <c r="Y50" s="1">
        <f>Tabela2[[#This Row],[Transporte (R$/saca)]]/Tabela1[[#This Row],[Transporte (R$/saca)_Colheita]]</f>
        <v>0.95276816691767297</v>
      </c>
      <c r="Z50" s="1">
        <f>Tabela2[[#This Row],[Preço (R$/saca) - Paranaguá]]/Tabela2[[#This Row],[Preço (R$/saca)_Época da Colheita]]</f>
        <v>1.2230260632915808</v>
      </c>
    </row>
    <row r="51" spans="1:26" x14ac:dyDescent="0.25">
      <c r="A51" s="7">
        <v>2010</v>
      </c>
      <c r="B51" s="2">
        <v>11</v>
      </c>
      <c r="C51" s="2" t="str">
        <f t="shared" si="7"/>
        <v>11-2010</v>
      </c>
      <c r="D51" s="13">
        <v>40483</v>
      </c>
      <c r="E51" s="2">
        <v>28.693500000000007</v>
      </c>
      <c r="F51" s="2">
        <v>49.173000000000002</v>
      </c>
      <c r="G51" s="2">
        <f t="shared" si="11"/>
        <v>1.7137330754352027</v>
      </c>
      <c r="H51" s="6">
        <f>INDEX('Taxa de Juros (Ano)'!C:C,MATCH(Base!A51,'Taxa de Juros (Ano)'!A:A,0),1)</f>
        <v>7.8083333333333329E-3</v>
      </c>
      <c r="I51" s="9" t="str">
        <f t="shared" si="12"/>
        <v>3-2010</v>
      </c>
      <c r="J51" s="2">
        <f t="shared" si="13"/>
        <v>37.383913043478266</v>
      </c>
      <c r="K51" s="1">
        <f t="shared" si="14"/>
        <v>2.335248434782609</v>
      </c>
      <c r="L51">
        <v>10.465206984070111</v>
      </c>
      <c r="M51">
        <f t="shared" si="10"/>
        <v>8</v>
      </c>
      <c r="N51" s="12" t="str">
        <f t="shared" si="15"/>
        <v>8-2010</v>
      </c>
      <c r="Q51">
        <f>INDEX(SIARMA!D:D,MATCH(Base!M51,SIARMA!A:A,0),1)</f>
        <v>1.8390000000000011</v>
      </c>
      <c r="R51" s="2">
        <f t="shared" si="16"/>
        <v>34.533544581147289</v>
      </c>
      <c r="S51" s="2">
        <f t="shared" si="17"/>
        <v>9.083909659238163</v>
      </c>
      <c r="U51" s="17">
        <f t="shared" si="18"/>
        <v>9.083909659238163</v>
      </c>
      <c r="V51" s="17">
        <f t="shared" si="19"/>
        <v>0</v>
      </c>
      <c r="W51" s="21">
        <f>Tabela2[[#This Row],[Transporte (R$/saca)]]/Tabela2[[#This Row],[Preço (R$/saca) - Paranaguá]]</f>
        <v>0.21282425282309622</v>
      </c>
      <c r="X51">
        <f>INDEX(L:L,MATCH(Tabela2[[#This Row],[Chave-Colheita]],C:C,0),1)</f>
        <v>11.93427812156914</v>
      </c>
      <c r="Y51" s="1">
        <f>Tabela2[[#This Row],[Transporte (R$/saca)]]/Tabela1[[#This Row],[Transporte (R$/saca)_Colheita]]</f>
        <v>0.87690322594008119</v>
      </c>
      <c r="Z51" s="1">
        <f>Tabela2[[#This Row],[Preço (R$/saca) - Paranaguá]]/Tabela2[[#This Row],[Preço (R$/saca)_Época da Colheita]]</f>
        <v>1.3153518718816508</v>
      </c>
    </row>
    <row r="52" spans="1:26" x14ac:dyDescent="0.25">
      <c r="A52" s="7">
        <v>2010</v>
      </c>
      <c r="B52" s="2">
        <v>12</v>
      </c>
      <c r="C52" s="2" t="str">
        <f t="shared" si="7"/>
        <v>12-2010</v>
      </c>
      <c r="D52" s="13">
        <v>40513</v>
      </c>
      <c r="E52" s="2">
        <v>29.26</v>
      </c>
      <c r="F52" s="2">
        <v>49.589999999999996</v>
      </c>
      <c r="G52" s="2">
        <f t="shared" si="11"/>
        <v>1.6948051948051945</v>
      </c>
      <c r="H52" s="6">
        <f>INDEX('Taxa de Juros (Ano)'!C:C,MATCH(Base!A52,'Taxa de Juros (Ano)'!A:A,0),1)</f>
        <v>7.8083333333333329E-3</v>
      </c>
      <c r="I52" s="9" t="str">
        <f t="shared" si="12"/>
        <v>3-2010</v>
      </c>
      <c r="J52" s="2">
        <f t="shared" si="13"/>
        <v>37.383913043478266</v>
      </c>
      <c r="K52" s="1">
        <f t="shared" si="14"/>
        <v>2.6271544891304353</v>
      </c>
      <c r="L52">
        <v>10.761850547331367</v>
      </c>
      <c r="M52">
        <f t="shared" si="10"/>
        <v>9</v>
      </c>
      <c r="N52" s="12" t="str">
        <f t="shared" si="15"/>
        <v>9-2010</v>
      </c>
      <c r="Q52">
        <f>INDEX(SIARMA!D:D,MATCH(Base!M52,SIARMA!A:A,0),1)</f>
        <v>1.9763333333333346</v>
      </c>
      <c r="R52" s="2">
        <f t="shared" si="16"/>
        <v>34.224661630204864</v>
      </c>
      <c r="S52" s="2">
        <f t="shared" si="17"/>
        <v>8.7750267082957372</v>
      </c>
      <c r="U52" s="17">
        <f t="shared" si="18"/>
        <v>8.7750267082957372</v>
      </c>
      <c r="V52" s="17">
        <f t="shared" si="19"/>
        <v>0</v>
      </c>
      <c r="W52" s="21">
        <f>Tabela2[[#This Row],[Transporte (R$/saca)]]/Tabela2[[#This Row],[Preço (R$/saca) - Paranaguá]]</f>
        <v>0.21701654662898504</v>
      </c>
      <c r="X52">
        <f>INDEX(L:L,MATCH(Tabela2[[#This Row],[Chave-Colheita]],C:C,0),1)</f>
        <v>11.93427812156914</v>
      </c>
      <c r="Y52" s="1">
        <f>Tabela2[[#This Row],[Transporte (R$/saca)]]/Tabela1[[#This Row],[Transporte (R$/saca)_Colheita]]</f>
        <v>0.9017596571577452</v>
      </c>
      <c r="Z52" s="1">
        <f>Tabela2[[#This Row],[Preço (R$/saca) - Paranaguá]]/Tabela2[[#This Row],[Preço (R$/saca)_Época da Colheita]]</f>
        <v>1.3265064024283868</v>
      </c>
    </row>
    <row r="53" spans="1:26" x14ac:dyDescent="0.25">
      <c r="A53" s="7">
        <v>2011</v>
      </c>
      <c r="B53" s="2">
        <v>1</v>
      </c>
      <c r="C53" s="2" t="str">
        <f t="shared" si="7"/>
        <v>1-2011</v>
      </c>
      <c r="D53" s="13">
        <v>40544</v>
      </c>
      <c r="E53" s="2">
        <v>30.299047619047617</v>
      </c>
      <c r="F53" s="2">
        <v>50.779523809523802</v>
      </c>
      <c r="G53" s="2">
        <f t="shared" si="11"/>
        <v>1.6759445527126422</v>
      </c>
      <c r="H53" s="6">
        <f>INDEX('Taxa de Juros (Ano)'!C:C,MATCH(Base!A53,'Taxa de Juros (Ano)'!A:A,0),1)</f>
        <v>9.1999999999999998E-3</v>
      </c>
      <c r="I53" s="9" t="str">
        <f t="shared" si="12"/>
        <v>3-2011</v>
      </c>
      <c r="J53" s="2">
        <f t="shared" si="13"/>
        <v>49.544761904761906</v>
      </c>
      <c r="K53" s="1">
        <f t="shared" si="14"/>
        <v>0</v>
      </c>
      <c r="L53">
        <v>10.807866146151001</v>
      </c>
      <c r="M53">
        <f t="shared" si="10"/>
        <v>0</v>
      </c>
      <c r="N53" s="12" t="str">
        <f t="shared" si="15"/>
        <v>0-2011</v>
      </c>
      <c r="Q53">
        <f>INDEX(SIARMA!D:D,MATCH(Base!M53,SIARMA!A:A,0),1)</f>
        <v>0</v>
      </c>
      <c r="R53" s="2">
        <f t="shared" si="16"/>
        <v>0</v>
      </c>
      <c r="S53" s="2">
        <f t="shared" si="17"/>
        <v>0</v>
      </c>
      <c r="U53" s="17">
        <f t="shared" si="18"/>
        <v>0</v>
      </c>
      <c r="V53" s="17">
        <f t="shared" si="19"/>
        <v>0</v>
      </c>
      <c r="W53" s="21">
        <f>Tabela2[[#This Row],[Transporte (R$/saca)]]/Tabela2[[#This Row],[Preço (R$/saca) - Paranaguá]]</f>
        <v>0.21283906061608171</v>
      </c>
      <c r="X53">
        <f>INDEX(L:L,MATCH(Tabela2[[#This Row],[Chave-Colheita]],C:C,0),1)</f>
        <v>11.204052331674593</v>
      </c>
      <c r="Y53" s="1">
        <f>Tabela2[[#This Row],[Transporte (R$/saca)]]/Tabela1[[#This Row],[Transporte (R$/saca)_Colheita]]</f>
        <v>0.9646390275772323</v>
      </c>
      <c r="Z53" s="1">
        <f>Tabela2[[#This Row],[Preço (R$/saca) - Paranaguá]]/Tabela2[[#This Row],[Preço (R$/saca)_Época da Colheita]]</f>
        <v>1.0249221483218636</v>
      </c>
    </row>
    <row r="54" spans="1:26" x14ac:dyDescent="0.25">
      <c r="A54" s="7">
        <v>2011</v>
      </c>
      <c r="B54" s="2">
        <v>2</v>
      </c>
      <c r="C54" s="2" t="str">
        <f t="shared" si="7"/>
        <v>2-2011</v>
      </c>
      <c r="D54" s="13">
        <v>40575</v>
      </c>
      <c r="E54" s="2">
        <v>30.803000000000004</v>
      </c>
      <c r="F54" s="2">
        <v>51.389499999999998</v>
      </c>
      <c r="G54" s="2">
        <f t="shared" si="11"/>
        <v>1.668327760283089</v>
      </c>
      <c r="H54" s="6">
        <f>INDEX('Taxa de Juros (Ano)'!C:C,MATCH(Base!A54,'Taxa de Juros (Ano)'!A:A,0),1)</f>
        <v>9.1999999999999998E-3</v>
      </c>
      <c r="I54" s="9" t="str">
        <f t="shared" si="12"/>
        <v>3-2011</v>
      </c>
      <c r="J54" s="2">
        <f t="shared" si="13"/>
        <v>49.544761904761906</v>
      </c>
      <c r="K54" s="1">
        <f t="shared" si="14"/>
        <v>0</v>
      </c>
      <c r="L54">
        <v>10.539177076691368</v>
      </c>
      <c r="M54">
        <f t="shared" si="10"/>
        <v>0</v>
      </c>
      <c r="N54" s="12" t="str">
        <f t="shared" si="15"/>
        <v>0-2011</v>
      </c>
      <c r="Q54">
        <f>INDEX(SIARMA!D:D,MATCH(Base!M54,SIARMA!A:A,0),1)</f>
        <v>0</v>
      </c>
      <c r="R54" s="2">
        <f t="shared" si="16"/>
        <v>0</v>
      </c>
      <c r="S54" s="2">
        <f t="shared" si="17"/>
        <v>0</v>
      </c>
      <c r="U54" s="17">
        <f t="shared" si="18"/>
        <v>0</v>
      </c>
      <c r="V54" s="17">
        <f t="shared" si="19"/>
        <v>0</v>
      </c>
      <c r="W54" s="21">
        <f>Tabela2[[#This Row],[Transporte (R$/saca)]]/Tabela2[[#This Row],[Preço (R$/saca) - Paranaguá]]</f>
        <v>0.20508425022020779</v>
      </c>
      <c r="X54">
        <f>INDEX(L:L,MATCH(Tabela2[[#This Row],[Chave-Colheita]],C:C,0),1)</f>
        <v>11.204052331674593</v>
      </c>
      <c r="Y54" s="1">
        <f>Tabela2[[#This Row],[Transporte (R$/saca)]]/Tabela1[[#This Row],[Transporte (R$/saca)_Colheita]]</f>
        <v>0.94065760893461925</v>
      </c>
      <c r="Z54" s="1">
        <f>Tabela2[[#This Row],[Preço (R$/saca) - Paranaguá]]/Tabela2[[#This Row],[Preço (R$/saca)_Época da Colheita]]</f>
        <v>1.0372337664834108</v>
      </c>
    </row>
    <row r="55" spans="1:26" x14ac:dyDescent="0.25">
      <c r="A55" s="7">
        <v>2011</v>
      </c>
      <c r="B55" s="2">
        <v>3</v>
      </c>
      <c r="C55" s="2" t="str">
        <f t="shared" si="7"/>
        <v>3-2011</v>
      </c>
      <c r="D55" s="13">
        <v>40603</v>
      </c>
      <c r="E55" s="2">
        <v>29.858095238095231</v>
      </c>
      <c r="F55" s="2">
        <v>49.544761904761906</v>
      </c>
      <c r="G55" s="2">
        <f t="shared" si="11"/>
        <v>1.6593410098561454</v>
      </c>
      <c r="H55" s="6">
        <f>INDEX('Taxa de Juros (Ano)'!C:C,MATCH(Base!A55,'Taxa de Juros (Ano)'!A:A,0),1)</f>
        <v>9.1999999999999998E-3</v>
      </c>
      <c r="I55" s="9" t="str">
        <f t="shared" si="12"/>
        <v>3-2011</v>
      </c>
      <c r="J55" s="2">
        <f t="shared" si="13"/>
        <v>49.544761904761906</v>
      </c>
      <c r="K55" s="1">
        <f t="shared" si="14"/>
        <v>0</v>
      </c>
      <c r="L55">
        <v>11.204052331674593</v>
      </c>
      <c r="M55">
        <f t="shared" si="10"/>
        <v>0</v>
      </c>
      <c r="N55" s="12" t="str">
        <f t="shared" si="15"/>
        <v>0-2011</v>
      </c>
      <c r="Q55">
        <f>INDEX(SIARMA!D:D,MATCH(Base!M55,SIARMA!A:A,0),1)</f>
        <v>0</v>
      </c>
      <c r="R55" s="2">
        <f t="shared" si="16"/>
        <v>38.34070957308731</v>
      </c>
      <c r="S55" s="2">
        <f t="shared" si="17"/>
        <v>0</v>
      </c>
      <c r="U55" s="17">
        <f t="shared" si="18"/>
        <v>0</v>
      </c>
      <c r="V55" s="17">
        <f t="shared" si="19"/>
        <v>0</v>
      </c>
      <c r="W55" s="21">
        <f>Tabela2[[#This Row],[Transporte (R$/saca)]]/Tabela2[[#This Row],[Preço (R$/saca) - Paranaguá]]</f>
        <v>0.2261399974675776</v>
      </c>
      <c r="X55">
        <f>INDEX(L:L,MATCH(Tabela2[[#This Row],[Chave-Colheita]],C:C,0),1)</f>
        <v>11.204052331674593</v>
      </c>
      <c r="Y55" s="1">
        <f>Tabela2[[#This Row],[Transporte (R$/saca)]]/Tabela1[[#This Row],[Transporte (R$/saca)_Colheita]]</f>
        <v>1</v>
      </c>
      <c r="Z55" s="1">
        <f>Tabela2[[#This Row],[Preço (R$/saca) - Paranaguá]]/Tabela2[[#This Row],[Preço (R$/saca)_Época da Colheita]]</f>
        <v>1</v>
      </c>
    </row>
    <row r="56" spans="1:26" x14ac:dyDescent="0.25">
      <c r="A56" s="7">
        <v>2011</v>
      </c>
      <c r="B56" s="2">
        <v>4</v>
      </c>
      <c r="C56" s="2" t="str">
        <f t="shared" si="7"/>
        <v>4-2011</v>
      </c>
      <c r="D56" s="13">
        <v>40634</v>
      </c>
      <c r="E56" s="2">
        <v>29.758947368421051</v>
      </c>
      <c r="F56" s="2">
        <v>47.188421052631583</v>
      </c>
      <c r="G56" s="2">
        <f t="shared" si="11"/>
        <v>1.5856885147324116</v>
      </c>
      <c r="H56" s="6">
        <f>INDEX('Taxa de Juros (Ano)'!C:C,MATCH(Base!A56,'Taxa de Juros (Ano)'!A:A,0),1)</f>
        <v>9.1999999999999998E-3</v>
      </c>
      <c r="I56" s="9" t="str">
        <f t="shared" si="12"/>
        <v>3-2011</v>
      </c>
      <c r="J56" s="2">
        <f t="shared" si="13"/>
        <v>49.544761904761906</v>
      </c>
      <c r="K56" s="1">
        <f t="shared" si="14"/>
        <v>0.45581180952380951</v>
      </c>
      <c r="L56">
        <v>11.226852464406354</v>
      </c>
      <c r="M56">
        <f t="shared" si="10"/>
        <v>1</v>
      </c>
      <c r="N56" s="12" t="str">
        <f t="shared" si="15"/>
        <v>1-2011</v>
      </c>
      <c r="Q56">
        <f>INDEX(SIARMA!D:D,MATCH(Base!M56,SIARMA!A:A,0),1)</f>
        <v>0.92800000000000016</v>
      </c>
      <c r="R56" s="2">
        <f t="shared" si="16"/>
        <v>34.577756778701421</v>
      </c>
      <c r="S56" s="2">
        <f t="shared" si="17"/>
        <v>-3.7629527943858889</v>
      </c>
      <c r="U56" s="17">
        <f t="shared" si="18"/>
        <v>0</v>
      </c>
      <c r="V56" s="17">
        <f t="shared" si="19"/>
        <v>-3.7629527943858889</v>
      </c>
      <c r="W56" s="21">
        <f>Tabela2[[#This Row],[Transporte (R$/saca)]]/Tabela2[[#This Row],[Preço (R$/saca) - Paranaguá]]</f>
        <v>0.23791540835588651</v>
      </c>
      <c r="X56">
        <f>INDEX(L:L,MATCH(Tabela2[[#This Row],[Chave-Colheita]],C:C,0),1)</f>
        <v>11.204052331674593</v>
      </c>
      <c r="Y56" s="1">
        <f>Tabela2[[#This Row],[Transporte (R$/saca)]]/Tabela1[[#This Row],[Transporte (R$/saca)_Colheita]]</f>
        <v>1.0020349898462455</v>
      </c>
      <c r="Z56" s="1">
        <f>Tabela2[[#This Row],[Preço (R$/saca) - Paranaguá]]/Tabela2[[#This Row],[Preço (R$/saca)_Época da Colheita]]</f>
        <v>0.95244016195577186</v>
      </c>
    </row>
    <row r="57" spans="1:26" x14ac:dyDescent="0.25">
      <c r="A57" s="7">
        <v>2011</v>
      </c>
      <c r="B57" s="2">
        <v>5</v>
      </c>
      <c r="C57" s="2" t="str">
        <f t="shared" si="7"/>
        <v>5-2011</v>
      </c>
      <c r="D57" s="13">
        <v>40664</v>
      </c>
      <c r="E57" s="2">
        <v>29.655909090909095</v>
      </c>
      <c r="F57" s="2">
        <v>47.829999999999991</v>
      </c>
      <c r="G57" s="2">
        <f t="shared" si="11"/>
        <v>1.6128320279570216</v>
      </c>
      <c r="H57" s="6">
        <f>INDEX('Taxa de Juros (Ano)'!C:C,MATCH(Base!A57,'Taxa de Juros (Ano)'!A:A,0),1)</f>
        <v>9.1999999999999998E-3</v>
      </c>
      <c r="I57" s="9" t="str">
        <f t="shared" si="12"/>
        <v>3-2011</v>
      </c>
      <c r="J57" s="2">
        <f t="shared" si="13"/>
        <v>49.544761904761906</v>
      </c>
      <c r="K57" s="1">
        <f t="shared" si="14"/>
        <v>0.91162361904761902</v>
      </c>
      <c r="L57">
        <v>10.567917629536781</v>
      </c>
      <c r="M57">
        <f t="shared" si="10"/>
        <v>2</v>
      </c>
      <c r="N57" s="12" t="str">
        <f t="shared" si="15"/>
        <v>2-2011</v>
      </c>
      <c r="Q57">
        <f>INDEX(SIARMA!D:D,MATCH(Base!M57,SIARMA!A:A,0),1)</f>
        <v>1.0149999999999999</v>
      </c>
      <c r="R57" s="2">
        <f t="shared" si="16"/>
        <v>35.335458751415594</v>
      </c>
      <c r="S57" s="2">
        <f t="shared" si="17"/>
        <v>-3.0052508216717158</v>
      </c>
      <c r="U57" s="17">
        <f t="shared" si="18"/>
        <v>0</v>
      </c>
      <c r="V57" s="17">
        <f t="shared" si="19"/>
        <v>-3.0052508216717158</v>
      </c>
      <c r="W57" s="21">
        <f>Tabela2[[#This Row],[Transporte (R$/saca)]]/Tabela2[[#This Row],[Preço (R$/saca) - Paranaguá]]</f>
        <v>0.22094747291525785</v>
      </c>
      <c r="X57">
        <f>INDEX(L:L,MATCH(Tabela2[[#This Row],[Chave-Colheita]],C:C,0),1)</f>
        <v>11.204052331674593</v>
      </c>
      <c r="Y57" s="1">
        <f>Tabela2[[#This Row],[Transporte (R$/saca)]]/Tabela1[[#This Row],[Transporte (R$/saca)_Colheita]]</f>
        <v>0.94322280159836303</v>
      </c>
      <c r="Z57" s="1">
        <f>Tabela2[[#This Row],[Preço (R$/saca) - Paranaguá]]/Tabela2[[#This Row],[Preço (R$/saca)_Época da Colheita]]</f>
        <v>0.96538964284341222</v>
      </c>
    </row>
    <row r="58" spans="1:26" x14ac:dyDescent="0.25">
      <c r="A58" s="7">
        <v>2011</v>
      </c>
      <c r="B58" s="2">
        <v>6</v>
      </c>
      <c r="C58" s="2" t="str">
        <f t="shared" si="7"/>
        <v>6-2011</v>
      </c>
      <c r="D58" s="13">
        <v>40695</v>
      </c>
      <c r="E58" s="2">
        <v>30.156666666666666</v>
      </c>
      <c r="F58" s="2">
        <v>47.87952380952381</v>
      </c>
      <c r="G58" s="2">
        <f t="shared" si="11"/>
        <v>1.5876928421418308</v>
      </c>
      <c r="H58" s="6">
        <f>INDEX('Taxa de Juros (Ano)'!C:C,MATCH(Base!A58,'Taxa de Juros (Ano)'!A:A,0),1)</f>
        <v>9.1999999999999998E-3</v>
      </c>
      <c r="I58" s="9" t="str">
        <f t="shared" si="12"/>
        <v>3-2011</v>
      </c>
      <c r="J58" s="2">
        <f t="shared" si="13"/>
        <v>49.544761904761906</v>
      </c>
      <c r="K58" s="1">
        <f t="shared" si="14"/>
        <v>1.3674354285714285</v>
      </c>
      <c r="L58">
        <v>10.764597157951235</v>
      </c>
      <c r="M58">
        <f t="shared" si="10"/>
        <v>3</v>
      </c>
      <c r="N58" s="12" t="str">
        <f t="shared" si="15"/>
        <v>3-2011</v>
      </c>
      <c r="Q58">
        <f>INDEX(SIARMA!D:D,MATCH(Base!M58,SIARMA!A:A,0),1)</f>
        <v>1.1523333333333334</v>
      </c>
      <c r="R58" s="2">
        <f t="shared" si="16"/>
        <v>34.595157889667817</v>
      </c>
      <c r="S58" s="2">
        <f t="shared" si="17"/>
        <v>-3.7455516834194924</v>
      </c>
      <c r="U58" s="17">
        <f t="shared" si="18"/>
        <v>0</v>
      </c>
      <c r="V58" s="17">
        <f t="shared" si="19"/>
        <v>-3.7455516834194924</v>
      </c>
      <c r="W58" s="21">
        <f>Tabela2[[#This Row],[Transporte (R$/saca)]]/Tabela2[[#This Row],[Preço (R$/saca) - Paranaguá]]</f>
        <v>0.22482673805978887</v>
      </c>
      <c r="X58">
        <f>INDEX(L:L,MATCH(Tabela2[[#This Row],[Chave-Colheita]],C:C,0),1)</f>
        <v>11.204052331674593</v>
      </c>
      <c r="Y58" s="1">
        <f>Tabela2[[#This Row],[Transporte (R$/saca)]]/Tabela1[[#This Row],[Transporte (R$/saca)_Colheita]]</f>
        <v>0.96077712235590074</v>
      </c>
      <c r="Z58" s="1">
        <f>Tabela2[[#This Row],[Preço (R$/saca) - Paranaguá]]/Tabela2[[#This Row],[Preço (R$/saca)_Época da Colheita]]</f>
        <v>0.96638921994540772</v>
      </c>
    </row>
    <row r="59" spans="1:26" x14ac:dyDescent="0.25">
      <c r="A59" s="7">
        <v>2011</v>
      </c>
      <c r="B59" s="2">
        <v>7</v>
      </c>
      <c r="C59" s="2" t="str">
        <f t="shared" si="7"/>
        <v>7-2011</v>
      </c>
      <c r="D59" s="13">
        <v>40725</v>
      </c>
      <c r="E59" s="2">
        <v>31.025714285714283</v>
      </c>
      <c r="F59" s="2">
        <v>48.502380952380953</v>
      </c>
      <c r="G59" s="2">
        <f t="shared" si="11"/>
        <v>1.5632961905638949</v>
      </c>
      <c r="H59" s="6">
        <f>INDEX('Taxa de Juros (Ano)'!C:C,MATCH(Base!A59,'Taxa de Juros (Ano)'!A:A,0),1)</f>
        <v>9.1999999999999998E-3</v>
      </c>
      <c r="I59" s="9" t="str">
        <f t="shared" si="12"/>
        <v>3-2011</v>
      </c>
      <c r="J59" s="2">
        <f t="shared" si="13"/>
        <v>49.544761904761906</v>
      </c>
      <c r="K59" s="1">
        <f t="shared" si="14"/>
        <v>1.823247238095238</v>
      </c>
      <c r="L59">
        <v>11.035765652658991</v>
      </c>
      <c r="M59">
        <f t="shared" si="10"/>
        <v>4</v>
      </c>
      <c r="N59" s="12" t="str">
        <f t="shared" si="15"/>
        <v>4-2011</v>
      </c>
      <c r="Q59">
        <f>INDEX(SIARMA!D:D,MATCH(Base!M59,SIARMA!A:A,0),1)</f>
        <v>1.289666666666667</v>
      </c>
      <c r="R59" s="2">
        <f t="shared" si="16"/>
        <v>34.353701394960055</v>
      </c>
      <c r="S59" s="2">
        <f t="shared" si="17"/>
        <v>-3.9870081781272546</v>
      </c>
      <c r="U59" s="17">
        <f t="shared" si="18"/>
        <v>0</v>
      </c>
      <c r="V59" s="17">
        <f t="shared" si="19"/>
        <v>-3.9870081781272546</v>
      </c>
      <c r="W59" s="21">
        <f>Tabela2[[#This Row],[Transporte (R$/saca)]]/Tabela2[[#This Row],[Preço (R$/saca) - Paranaguá]]</f>
        <v>0.22753038997186079</v>
      </c>
      <c r="X59">
        <f>INDEX(L:L,MATCH(Tabela2[[#This Row],[Chave-Colheita]],C:C,0),1)</f>
        <v>11.204052331674593</v>
      </c>
      <c r="Y59" s="1">
        <f>Tabela2[[#This Row],[Transporte (R$/saca)]]/Tabela1[[#This Row],[Transporte (R$/saca)_Colheita]]</f>
        <v>0.98497983818409673</v>
      </c>
      <c r="Z59" s="1">
        <f>Tabela2[[#This Row],[Preço (R$/saca) - Paranaguá]]/Tabela2[[#This Row],[Preço (R$/saca)_Época da Colheita]]</f>
        <v>0.97896082426665643</v>
      </c>
    </row>
    <row r="60" spans="1:26" x14ac:dyDescent="0.25">
      <c r="A60" s="7">
        <v>2011</v>
      </c>
      <c r="B60" s="2">
        <v>8</v>
      </c>
      <c r="C60" s="2" t="str">
        <f t="shared" si="7"/>
        <v>8-2011</v>
      </c>
      <c r="D60" s="13">
        <v>40756</v>
      </c>
      <c r="E60" s="2">
        <v>30.954347826086959</v>
      </c>
      <c r="F60" s="2">
        <v>49.383478260869573</v>
      </c>
      <c r="G60" s="2">
        <f t="shared" si="11"/>
        <v>1.5953648430367302</v>
      </c>
      <c r="H60" s="6">
        <f>INDEX('Taxa de Juros (Ano)'!C:C,MATCH(Base!A60,'Taxa de Juros (Ano)'!A:A,0),1)</f>
        <v>9.1999999999999998E-3</v>
      </c>
      <c r="I60" s="9" t="str">
        <f t="shared" si="12"/>
        <v>3-2011</v>
      </c>
      <c r="J60" s="2">
        <f t="shared" si="13"/>
        <v>49.544761904761906</v>
      </c>
      <c r="K60" s="1">
        <f t="shared" si="14"/>
        <v>2.2790590476190475</v>
      </c>
      <c r="L60">
        <v>11.508104532399679</v>
      </c>
      <c r="M60">
        <f t="shared" si="10"/>
        <v>5</v>
      </c>
      <c r="N60" s="12" t="str">
        <f t="shared" si="15"/>
        <v>5-2011</v>
      </c>
      <c r="Q60">
        <f>INDEX(SIARMA!D:D,MATCH(Base!M60,SIARMA!A:A,0),1)</f>
        <v>1.4270000000000005</v>
      </c>
      <c r="R60" s="2">
        <f t="shared" si="16"/>
        <v>34.169314680850846</v>
      </c>
      <c r="S60" s="2">
        <f t="shared" si="17"/>
        <v>-4.1713948922364636</v>
      </c>
      <c r="U60" s="17">
        <f t="shared" si="18"/>
        <v>0</v>
      </c>
      <c r="V60" s="17">
        <f t="shared" si="19"/>
        <v>-4.1713948922364636</v>
      </c>
      <c r="W60" s="21">
        <f>Tabela2[[#This Row],[Transporte (R$/saca)]]/Tabela2[[#This Row],[Preço (R$/saca) - Paranaguá]]</f>
        <v>0.23303551992850327</v>
      </c>
      <c r="X60">
        <f>INDEX(L:L,MATCH(Tabela2[[#This Row],[Chave-Colheita]],C:C,0),1)</f>
        <v>11.204052331674593</v>
      </c>
      <c r="Y60" s="1">
        <f>Tabela2[[#This Row],[Transporte (R$/saca)]]/Tabela1[[#This Row],[Transporte (R$/saca)_Colheita]]</f>
        <v>1.0271376990863843</v>
      </c>
      <c r="Z60" s="1">
        <f>Tabela2[[#This Row],[Preço (R$/saca) - Paranaguá]]/Tabela2[[#This Row],[Preço (R$/saca)_Época da Colheita]]</f>
        <v>0.99674468828405383</v>
      </c>
    </row>
    <row r="61" spans="1:26" x14ac:dyDescent="0.25">
      <c r="A61" s="7">
        <v>2011</v>
      </c>
      <c r="B61" s="2">
        <v>9</v>
      </c>
      <c r="C61" s="2" t="str">
        <f t="shared" si="7"/>
        <v>9-2011</v>
      </c>
      <c r="D61" s="13">
        <v>40787</v>
      </c>
      <c r="E61" s="2">
        <v>29.681904761904764</v>
      </c>
      <c r="F61" s="2">
        <v>51.936666666666682</v>
      </c>
      <c r="G61" s="2">
        <f t="shared" si="11"/>
        <v>1.7497753962651612</v>
      </c>
      <c r="H61" s="6">
        <f>INDEX('Taxa de Juros (Ano)'!C:C,MATCH(Base!A61,'Taxa de Juros (Ano)'!A:A,0),1)</f>
        <v>9.1999999999999998E-3</v>
      </c>
      <c r="I61" s="9" t="str">
        <f t="shared" si="12"/>
        <v>3-2011</v>
      </c>
      <c r="J61" s="2">
        <f t="shared" si="13"/>
        <v>49.544761904761906</v>
      </c>
      <c r="K61" s="1">
        <f t="shared" si="14"/>
        <v>2.734870857142857</v>
      </c>
      <c r="L61">
        <v>10.768161390181813</v>
      </c>
      <c r="M61">
        <f t="shared" si="10"/>
        <v>6</v>
      </c>
      <c r="N61" s="12" t="str">
        <f t="shared" si="15"/>
        <v>6-2011</v>
      </c>
      <c r="Q61">
        <f>INDEX(SIARMA!D:D,MATCH(Base!M61,SIARMA!A:A,0),1)</f>
        <v>1.5643333333333338</v>
      </c>
      <c r="R61" s="2">
        <f t="shared" si="16"/>
        <v>36.869301086008669</v>
      </c>
      <c r="S61" s="2">
        <f t="shared" si="17"/>
        <v>-1.4714084870786408</v>
      </c>
      <c r="U61" s="17">
        <f t="shared" si="18"/>
        <v>0</v>
      </c>
      <c r="V61" s="17">
        <f t="shared" si="19"/>
        <v>-1.4714084870786408</v>
      </c>
      <c r="W61" s="21">
        <f>Tabela2[[#This Row],[Transporte (R$/saca)]]/Tabela2[[#This Row],[Preço (R$/saca) - Paranaguá]]</f>
        <v>0.20733254714424895</v>
      </c>
      <c r="X61">
        <f>INDEX(L:L,MATCH(Tabela2[[#This Row],[Chave-Colheita]],C:C,0),1)</f>
        <v>11.204052331674593</v>
      </c>
      <c r="Y61" s="1">
        <f>Tabela2[[#This Row],[Transporte (R$/saca)]]/Tabela1[[#This Row],[Transporte (R$/saca)_Colheita]]</f>
        <v>0.96109524227582488</v>
      </c>
      <c r="Z61" s="1">
        <f>Tabela2[[#This Row],[Preço (R$/saca) - Paranaguá]]/Tabela2[[#This Row],[Preço (R$/saca)_Época da Colheita]]</f>
        <v>1.0482776517627161</v>
      </c>
    </row>
    <row r="62" spans="1:26" x14ac:dyDescent="0.25">
      <c r="A62" s="7">
        <v>2011</v>
      </c>
      <c r="B62" s="2">
        <v>10</v>
      </c>
      <c r="C62" s="2" t="str">
        <f t="shared" si="7"/>
        <v>10-2011</v>
      </c>
      <c r="D62" s="13">
        <v>40817</v>
      </c>
      <c r="E62" s="2">
        <v>27.404999999999994</v>
      </c>
      <c r="F62" s="2">
        <v>48.468500000000013</v>
      </c>
      <c r="G62" s="2">
        <f t="shared" si="11"/>
        <v>1.7686006203247591</v>
      </c>
      <c r="H62" s="6">
        <f>INDEX('Taxa de Juros (Ano)'!C:C,MATCH(Base!A62,'Taxa de Juros (Ano)'!A:A,0),1)</f>
        <v>9.1999999999999998E-3</v>
      </c>
      <c r="I62" s="9" t="str">
        <f t="shared" si="12"/>
        <v>3-2011</v>
      </c>
      <c r="J62" s="2">
        <f t="shared" si="13"/>
        <v>49.544761904761906</v>
      </c>
      <c r="K62" s="1">
        <f t="shared" si="14"/>
        <v>3.1906826666666666</v>
      </c>
      <c r="L62">
        <v>10.544873403645273</v>
      </c>
      <c r="M62">
        <f t="shared" si="10"/>
        <v>7</v>
      </c>
      <c r="N62" s="12" t="str">
        <f t="shared" si="15"/>
        <v>7-2011</v>
      </c>
      <c r="Q62">
        <f>INDEX(SIARMA!D:D,MATCH(Base!M62,SIARMA!A:A,0),1)</f>
        <v>1.7016666666666673</v>
      </c>
      <c r="R62" s="2">
        <f t="shared" si="16"/>
        <v>33.031277263021401</v>
      </c>
      <c r="S62" s="2">
        <f t="shared" si="17"/>
        <v>-5.3094323100659082</v>
      </c>
      <c r="U62" s="17">
        <f t="shared" si="18"/>
        <v>0</v>
      </c>
      <c r="V62" s="17">
        <f t="shared" si="19"/>
        <v>-5.3094323100659082</v>
      </c>
      <c r="W62" s="21">
        <f>Tabela2[[#This Row],[Transporte (R$/saca)]]/Tabela2[[#This Row],[Preço (R$/saca) - Paranaguá]]</f>
        <v>0.21756137292561706</v>
      </c>
      <c r="X62">
        <f>INDEX(L:L,MATCH(Tabela2[[#This Row],[Chave-Colheita]],C:C,0),1)</f>
        <v>11.204052331674593</v>
      </c>
      <c r="Y62" s="1">
        <f>Tabela2[[#This Row],[Transporte (R$/saca)]]/Tabela1[[#This Row],[Transporte (R$/saca)_Colheita]]</f>
        <v>0.94116602560256013</v>
      </c>
      <c r="Z62" s="1">
        <f>Tabela2[[#This Row],[Preço (R$/saca) - Paranaguá]]/Tabela2[[#This Row],[Preço (R$/saca)_Época da Colheita]]</f>
        <v>0.97827697897043586</v>
      </c>
    </row>
    <row r="63" spans="1:26" x14ac:dyDescent="0.25">
      <c r="A63" s="7">
        <v>2011</v>
      </c>
      <c r="B63" s="2">
        <v>11</v>
      </c>
      <c r="C63" s="2" t="str">
        <f t="shared" si="7"/>
        <v>11-2011</v>
      </c>
      <c r="D63" s="13">
        <v>40848</v>
      </c>
      <c r="E63" s="2">
        <v>26.67199999999999</v>
      </c>
      <c r="F63" s="2">
        <v>47.736500000000014</v>
      </c>
      <c r="G63" s="2">
        <f t="shared" si="11"/>
        <v>1.7897607978404331</v>
      </c>
      <c r="H63" s="6">
        <f>INDEX('Taxa de Juros (Ano)'!C:C,MATCH(Base!A63,'Taxa de Juros (Ano)'!A:A,0),1)</f>
        <v>9.1999999999999998E-3</v>
      </c>
      <c r="I63" s="9" t="str">
        <f t="shared" si="12"/>
        <v>3-2011</v>
      </c>
      <c r="J63" s="2">
        <f t="shared" si="13"/>
        <v>49.544761904761906</v>
      </c>
      <c r="K63" s="1">
        <f t="shared" si="14"/>
        <v>3.6464944761904761</v>
      </c>
      <c r="L63">
        <v>9.1968499030658624</v>
      </c>
      <c r="M63">
        <f t="shared" si="10"/>
        <v>8</v>
      </c>
      <c r="N63" s="12" t="str">
        <f t="shared" si="15"/>
        <v>8-2011</v>
      </c>
      <c r="Q63">
        <f>INDEX(SIARMA!D:D,MATCH(Base!M63,SIARMA!A:A,0),1)</f>
        <v>1.8390000000000011</v>
      </c>
      <c r="R63" s="2">
        <f t="shared" si="16"/>
        <v>33.054155620743678</v>
      </c>
      <c r="S63" s="2">
        <f t="shared" si="17"/>
        <v>-5.2865539523436311</v>
      </c>
      <c r="U63" s="17">
        <f t="shared" si="18"/>
        <v>0</v>
      </c>
      <c r="V63" s="17">
        <f t="shared" si="19"/>
        <v>-5.2865539523436311</v>
      </c>
      <c r="W63" s="21">
        <f>Tabela2[[#This Row],[Transporte (R$/saca)]]/Tabela2[[#This Row],[Preço (R$/saca) - Paranaguá]]</f>
        <v>0.19265865539086149</v>
      </c>
      <c r="X63">
        <f>INDEX(L:L,MATCH(Tabela2[[#This Row],[Chave-Colheita]],C:C,0),1)</f>
        <v>11.204052331674593</v>
      </c>
      <c r="Y63" s="1">
        <f>Tabela2[[#This Row],[Transporte (R$/saca)]]/Tabela1[[#This Row],[Transporte (R$/saca)_Colheita]]</f>
        <v>0.82085031654714458</v>
      </c>
      <c r="Z63" s="1">
        <f>Tabela2[[#This Row],[Preço (R$/saca) - Paranaguá]]/Tabela2[[#This Row],[Preço (R$/saca)_Época da Colheita]]</f>
        <v>0.96350246049748212</v>
      </c>
    </row>
    <row r="64" spans="1:26" x14ac:dyDescent="0.25">
      <c r="A64" s="7">
        <v>2011</v>
      </c>
      <c r="B64" s="2">
        <v>12</v>
      </c>
      <c r="C64" s="2" t="str">
        <f t="shared" si="7"/>
        <v>12-2011</v>
      </c>
      <c r="D64" s="13">
        <v>40878</v>
      </c>
      <c r="E64" s="2">
        <v>25.942380952380951</v>
      </c>
      <c r="F64" s="2">
        <v>47.699047619047619</v>
      </c>
      <c r="G64" s="2">
        <f t="shared" si="11"/>
        <v>1.8386534260907874</v>
      </c>
      <c r="H64" s="6">
        <f>INDEX('Taxa de Juros (Ano)'!C:C,MATCH(Base!A64,'Taxa de Juros (Ano)'!A:A,0),1)</f>
        <v>9.1999999999999998E-3</v>
      </c>
      <c r="I64" s="9" t="str">
        <f t="shared" si="12"/>
        <v>3-2011</v>
      </c>
      <c r="J64" s="2">
        <f t="shared" si="13"/>
        <v>49.544761904761906</v>
      </c>
      <c r="K64" s="1">
        <f t="shared" si="14"/>
        <v>4.1023062857142856</v>
      </c>
      <c r="L64">
        <v>8.9201616439458284</v>
      </c>
      <c r="M64">
        <f t="shared" si="10"/>
        <v>9</v>
      </c>
      <c r="N64" s="12" t="str">
        <f t="shared" si="15"/>
        <v>9-2011</v>
      </c>
      <c r="Q64">
        <f>INDEX(SIARMA!D:D,MATCH(Base!M64,SIARMA!A:A,0),1)</f>
        <v>1.9763333333333346</v>
      </c>
      <c r="R64" s="2">
        <f t="shared" si="16"/>
        <v>32.700246356054173</v>
      </c>
      <c r="S64" s="2">
        <f t="shared" si="17"/>
        <v>-5.6404632170331368</v>
      </c>
      <c r="U64" s="17">
        <f t="shared" si="18"/>
        <v>0</v>
      </c>
      <c r="V64" s="17">
        <f t="shared" si="19"/>
        <v>-5.6404632170331368</v>
      </c>
      <c r="W64" s="21">
        <f>Tabela2[[#This Row],[Transporte (R$/saca)]]/Tabela2[[#This Row],[Preço (R$/saca) - Paranaguá]]</f>
        <v>0.18700921903488379</v>
      </c>
      <c r="X64">
        <f>INDEX(L:L,MATCH(Tabela2[[#This Row],[Chave-Colheita]],C:C,0),1)</f>
        <v>11.204052331674593</v>
      </c>
      <c r="Y64" s="1">
        <f>Tabela2[[#This Row],[Transporte (R$/saca)]]/Tabela1[[#This Row],[Transporte (R$/saca)_Colheita]]</f>
        <v>0.79615494286187372</v>
      </c>
      <c r="Z64" s="1">
        <f>Tabela2[[#This Row],[Preço (R$/saca) - Paranaguá]]/Tabela2[[#This Row],[Preço (R$/saca)_Época da Colheita]]</f>
        <v>0.96274653031409785</v>
      </c>
    </row>
    <row r="65" spans="1:26" x14ac:dyDescent="0.25">
      <c r="A65" s="7">
        <v>2012</v>
      </c>
      <c r="B65" s="2">
        <v>1</v>
      </c>
      <c r="C65" s="2" t="str">
        <f t="shared" si="7"/>
        <v>1-2012</v>
      </c>
      <c r="D65" s="13">
        <v>40909</v>
      </c>
      <c r="E65" s="2">
        <v>27.714545454545455</v>
      </c>
      <c r="F65" s="2">
        <v>49.552272727272729</v>
      </c>
      <c r="G65" s="2">
        <f t="shared" si="11"/>
        <v>1.7879518467493276</v>
      </c>
      <c r="H65" s="6">
        <f>INDEX('Taxa de Juros (Ano)'!C:C,MATCH(Base!A65,'Taxa de Juros (Ano)'!A:A,0),1)</f>
        <v>6.8083333333333338E-3</v>
      </c>
      <c r="I65" s="9" t="str">
        <f t="shared" si="12"/>
        <v>3-2012</v>
      </c>
      <c r="J65" s="2">
        <f t="shared" si="13"/>
        <v>54.926818181818163</v>
      </c>
      <c r="K65" s="1">
        <f t="shared" si="14"/>
        <v>0</v>
      </c>
      <c r="L65">
        <v>10.145308720887924</v>
      </c>
      <c r="M65">
        <f t="shared" si="10"/>
        <v>0</v>
      </c>
      <c r="N65" s="12" t="str">
        <f t="shared" si="15"/>
        <v>0-2012</v>
      </c>
      <c r="Q65">
        <f>INDEX(SIARMA!D:D,MATCH(Base!M65,SIARMA!A:A,0),1)</f>
        <v>0</v>
      </c>
      <c r="R65" s="2">
        <f t="shared" si="16"/>
        <v>0</v>
      </c>
      <c r="S65" s="2">
        <f t="shared" si="17"/>
        <v>0</v>
      </c>
      <c r="U65" s="17">
        <f t="shared" si="18"/>
        <v>0</v>
      </c>
      <c r="V65" s="17">
        <f t="shared" si="19"/>
        <v>0</v>
      </c>
      <c r="W65" s="21">
        <f>Tabela2[[#This Row],[Transporte (R$/saca)]]/Tabela2[[#This Row],[Preço (R$/saca) - Paranaguá]]</f>
        <v>0.20473952378987689</v>
      </c>
      <c r="X65">
        <f>INDEX(L:L,MATCH(Tabela2[[#This Row],[Chave-Colheita]],C:C,0),1)</f>
        <v>11.574954788954631</v>
      </c>
      <c r="Y65" s="1">
        <f>Tabela2[[#This Row],[Transporte (R$/saca)]]/Tabela1[[#This Row],[Transporte (R$/saca)_Colheita]]</f>
        <v>0.87648797821388091</v>
      </c>
      <c r="Z65" s="1">
        <f>Tabela2[[#This Row],[Preço (R$/saca) - Paranaguá]]/Tabela2[[#This Row],[Preço (R$/saca)_Época da Colheita]]</f>
        <v>0.90215079568682333</v>
      </c>
    </row>
    <row r="66" spans="1:26" x14ac:dyDescent="0.25">
      <c r="A66" s="7">
        <v>2012</v>
      </c>
      <c r="B66" s="2">
        <v>2</v>
      </c>
      <c r="C66" s="2" t="str">
        <f t="shared" si="7"/>
        <v>2-2012</v>
      </c>
      <c r="D66" s="13">
        <v>40940</v>
      </c>
      <c r="E66" s="2">
        <v>28.723684210526315</v>
      </c>
      <c r="F66" s="2">
        <v>49.324210526315781</v>
      </c>
      <c r="G66" s="2">
        <f t="shared" si="11"/>
        <v>1.7171965185524505</v>
      </c>
      <c r="H66" s="6">
        <f>INDEX('Taxa de Juros (Ano)'!C:C,MATCH(Base!A66,'Taxa de Juros (Ano)'!A:A,0),1)</f>
        <v>6.8083333333333338E-3</v>
      </c>
      <c r="I66" s="9" t="str">
        <f t="shared" si="12"/>
        <v>3-2012</v>
      </c>
      <c r="J66" s="2">
        <f t="shared" si="13"/>
        <v>54.926818181818163</v>
      </c>
      <c r="K66" s="1">
        <f t="shared" si="14"/>
        <v>0</v>
      </c>
      <c r="L66">
        <v>10.048132426851998</v>
      </c>
      <c r="M66">
        <f t="shared" si="10"/>
        <v>0</v>
      </c>
      <c r="N66" s="12" t="str">
        <f t="shared" si="15"/>
        <v>0-2012</v>
      </c>
      <c r="Q66">
        <f>INDEX(SIARMA!D:D,MATCH(Base!M66,SIARMA!A:A,0),1)</f>
        <v>0</v>
      </c>
      <c r="R66" s="2">
        <f t="shared" si="16"/>
        <v>0</v>
      </c>
      <c r="S66" s="2">
        <f t="shared" si="17"/>
        <v>0</v>
      </c>
      <c r="U66" s="17">
        <f t="shared" si="18"/>
        <v>0</v>
      </c>
      <c r="V66" s="17">
        <f t="shared" si="19"/>
        <v>0</v>
      </c>
      <c r="W66" s="21">
        <f>Tabela2[[#This Row],[Transporte (R$/saca)]]/Tabela2[[#This Row],[Preço (R$/saca) - Paranaguá]]</f>
        <v>0.203716031531636</v>
      </c>
      <c r="X66">
        <f>INDEX(L:L,MATCH(Tabela2[[#This Row],[Chave-Colheita]],C:C,0),1)</f>
        <v>11.574954788954631</v>
      </c>
      <c r="Y66" s="1">
        <f>Tabela2[[#This Row],[Transporte (R$/saca)]]/Tabela1[[#This Row],[Transporte (R$/saca)_Colheita]]</f>
        <v>0.86809258524624222</v>
      </c>
      <c r="Z66" s="1">
        <f>Tabela2[[#This Row],[Preço (R$/saca) - Paranaguá]]/Tabela2[[#This Row],[Preço (R$/saca)_Época da Colheita]]</f>
        <v>0.89799868550629147</v>
      </c>
    </row>
    <row r="67" spans="1:26" x14ac:dyDescent="0.25">
      <c r="A67" s="7">
        <v>2012</v>
      </c>
      <c r="B67" s="2">
        <v>3</v>
      </c>
      <c r="C67" s="2" t="str">
        <f t="shared" si="7"/>
        <v>3-2012</v>
      </c>
      <c r="D67" s="13">
        <v>40969</v>
      </c>
      <c r="E67" s="2">
        <v>30.609545454545447</v>
      </c>
      <c r="F67" s="2">
        <v>54.926818181818163</v>
      </c>
      <c r="G67" s="2">
        <f t="shared" si="11"/>
        <v>1.7944342970849851</v>
      </c>
      <c r="H67" s="6">
        <f>INDEX('Taxa de Juros (Ano)'!C:C,MATCH(Base!A67,'Taxa de Juros (Ano)'!A:A,0),1)</f>
        <v>6.8083333333333338E-3</v>
      </c>
      <c r="I67" s="9" t="str">
        <f t="shared" si="12"/>
        <v>3-2012</v>
      </c>
      <c r="J67" s="2">
        <f t="shared" si="13"/>
        <v>54.926818181818163</v>
      </c>
      <c r="K67" s="1">
        <f t="shared" si="14"/>
        <v>0</v>
      </c>
      <c r="L67">
        <v>11.574954788954631</v>
      </c>
      <c r="M67">
        <f t="shared" si="10"/>
        <v>0</v>
      </c>
      <c r="N67" s="12" t="str">
        <f t="shared" si="15"/>
        <v>0-2012</v>
      </c>
      <c r="Q67">
        <f>INDEX(SIARMA!D:D,MATCH(Base!M67,SIARMA!A:A,0),1)</f>
        <v>0</v>
      </c>
      <c r="R67" s="2">
        <f t="shared" si="16"/>
        <v>43.351863392863535</v>
      </c>
      <c r="S67" s="2">
        <f t="shared" si="17"/>
        <v>0</v>
      </c>
      <c r="U67" s="17">
        <f t="shared" si="18"/>
        <v>0</v>
      </c>
      <c r="V67" s="17">
        <f t="shared" si="19"/>
        <v>0</v>
      </c>
      <c r="W67" s="21">
        <f>Tabela2[[#This Row],[Transporte (R$/saca)]]/Tabela2[[#This Row],[Preço (R$/saca) - Paranaguá]]</f>
        <v>0.21073412172974121</v>
      </c>
      <c r="X67">
        <f>INDEX(L:L,MATCH(Tabela2[[#This Row],[Chave-Colheita]],C:C,0),1)</f>
        <v>11.574954788954631</v>
      </c>
      <c r="Y67" s="1">
        <f>Tabela2[[#This Row],[Transporte (R$/saca)]]/Tabela1[[#This Row],[Transporte (R$/saca)_Colheita]]</f>
        <v>1</v>
      </c>
      <c r="Z67" s="1">
        <f>Tabela2[[#This Row],[Preço (R$/saca) - Paranaguá]]/Tabela2[[#This Row],[Preço (R$/saca)_Época da Colheita]]</f>
        <v>1</v>
      </c>
    </row>
    <row r="68" spans="1:26" x14ac:dyDescent="0.25">
      <c r="A68" s="7">
        <v>2012</v>
      </c>
      <c r="B68" s="2">
        <v>4</v>
      </c>
      <c r="C68" s="2" t="str">
        <f t="shared" si="7"/>
        <v>4-2012</v>
      </c>
      <c r="D68" s="13">
        <v>41000</v>
      </c>
      <c r="E68" s="2">
        <v>32.505499999999991</v>
      </c>
      <c r="F68" s="2">
        <v>60.345000000000006</v>
      </c>
      <c r="G68" s="2">
        <f t="shared" si="11"/>
        <v>1.8564550614511397</v>
      </c>
      <c r="H68" s="6">
        <f>INDEX('Taxa de Juros (Ano)'!C:C,MATCH(Base!A68,'Taxa de Juros (Ano)'!A:A,0),1)</f>
        <v>6.8083333333333338E-3</v>
      </c>
      <c r="I68" s="9" t="str">
        <f t="shared" si="12"/>
        <v>3-2012</v>
      </c>
      <c r="J68" s="2">
        <f t="shared" si="13"/>
        <v>54.926818181818163</v>
      </c>
      <c r="K68" s="1">
        <f t="shared" si="14"/>
        <v>0.37396008712121204</v>
      </c>
      <c r="L68">
        <v>11.394559214764733</v>
      </c>
      <c r="M68">
        <f t="shared" si="10"/>
        <v>1</v>
      </c>
      <c r="N68" s="12" t="str">
        <f t="shared" si="15"/>
        <v>1-2012</v>
      </c>
      <c r="Q68">
        <f>INDEX(SIARMA!D:D,MATCH(Base!M68,SIARMA!A:A,0),1)</f>
        <v>0.92800000000000016</v>
      </c>
      <c r="R68" s="2">
        <f t="shared" si="16"/>
        <v>47.648480698114064</v>
      </c>
      <c r="S68" s="2">
        <f t="shared" si="17"/>
        <v>4.2966173052505283</v>
      </c>
      <c r="U68" s="17">
        <f t="shared" si="18"/>
        <v>4.2966173052505283</v>
      </c>
      <c r="V68" s="17">
        <f t="shared" si="19"/>
        <v>0</v>
      </c>
      <c r="W68" s="21">
        <f>Tabela2[[#This Row],[Transporte (R$/saca)]]/Tabela2[[#This Row],[Preço (R$/saca) - Paranaguá]]</f>
        <v>0.18882358463443089</v>
      </c>
      <c r="X68">
        <f>INDEX(L:L,MATCH(Tabela2[[#This Row],[Chave-Colheita]],C:C,0),1)</f>
        <v>11.574954788954631</v>
      </c>
      <c r="Y68" s="1">
        <f>Tabela2[[#This Row],[Transporte (R$/saca)]]/Tabela1[[#This Row],[Transporte (R$/saca)_Colheita]]</f>
        <v>0.9844150083106985</v>
      </c>
      <c r="Z68" s="1">
        <f>Tabela2[[#This Row],[Preço (R$/saca) - Paranaguá]]/Tabela2[[#This Row],[Preço (R$/saca)_Época da Colheita]]</f>
        <v>1.0986436498150436</v>
      </c>
    </row>
    <row r="69" spans="1:26" x14ac:dyDescent="0.25">
      <c r="A69" s="7">
        <v>2012</v>
      </c>
      <c r="B69" s="2">
        <v>5</v>
      </c>
      <c r="C69" s="2" t="str">
        <f t="shared" si="7"/>
        <v>5-2012</v>
      </c>
      <c r="D69" s="13">
        <v>41030</v>
      </c>
      <c r="E69" s="2">
        <v>32.135909090909095</v>
      </c>
      <c r="F69" s="2">
        <v>63.788636363636378</v>
      </c>
      <c r="G69" s="2">
        <f t="shared" ref="G69:G100" si="20">F69/E69</f>
        <v>1.9849644266538424</v>
      </c>
      <c r="H69" s="6">
        <f>INDEX('Taxa de Juros (Ano)'!C:C,MATCH(Base!A69,'Taxa de Juros (Ano)'!A:A,0),1)</f>
        <v>6.8083333333333338E-3</v>
      </c>
      <c r="I69" s="9" t="str">
        <f t="shared" ref="I69:I100" si="21">CONCATENATE($B$1,"-",A69)</f>
        <v>3-2012</v>
      </c>
      <c r="J69" s="2">
        <f t="shared" ref="J69:J100" si="22">INDEX($F$4:$F$124,MATCH(I69,$C$4:$C$124,0),1)</f>
        <v>54.926818181818163</v>
      </c>
      <c r="K69" s="1">
        <f t="shared" ref="K69:K100" si="23">J69*H69*M69</f>
        <v>0.74792017424242407</v>
      </c>
      <c r="L69">
        <v>11.365905733580133</v>
      </c>
      <c r="M69">
        <f t="shared" si="10"/>
        <v>2</v>
      </c>
      <c r="N69" s="12" t="str">
        <f t="shared" ref="N69:N100" si="24">CONCATENATE(M69,"-",A69)</f>
        <v>2-2012</v>
      </c>
      <c r="Q69">
        <f>INDEX(SIARMA!D:D,MATCH(Base!M69,SIARMA!A:A,0),1)</f>
        <v>1.0149999999999999</v>
      </c>
      <c r="R69" s="2">
        <f t="shared" ref="R69:R100" si="25">IF(B69&lt;$B$1,0,F69-Q69-L69-K69)</f>
        <v>50.659810455813819</v>
      </c>
      <c r="S69" s="2">
        <f t="shared" ref="S69:S132" si="26">IF(R69=0,0,R69-(J69-X69))</f>
        <v>7.3079470629502836</v>
      </c>
      <c r="U69" s="17">
        <f t="shared" ref="U69:U100" si="27">IF(S69&gt;0,S69,0)</f>
        <v>7.3079470629502836</v>
      </c>
      <c r="V69" s="17">
        <f t="shared" ref="V69:V100" si="28">IF(S69&lt;0,S69,0)</f>
        <v>0</v>
      </c>
      <c r="W69" s="21">
        <f>Tabela2[[#This Row],[Transporte (R$/saca)]]/Tabela2[[#This Row],[Preço (R$/saca) - Paranaguá]]</f>
        <v>0.17818072906884447</v>
      </c>
      <c r="X69">
        <f>INDEX(L:L,MATCH(Tabela2[[#This Row],[Chave-Colheita]],C:C,0),1)</f>
        <v>11.574954788954631</v>
      </c>
      <c r="Y69" s="1">
        <f>Tabela2[[#This Row],[Transporte (R$/saca)]]/Tabela1[[#This Row],[Transporte (R$/saca)_Colheita]]</f>
        <v>0.98193953590436633</v>
      </c>
      <c r="Z69" s="1">
        <f>Tabela2[[#This Row],[Preço (R$/saca) - Paranaguá]]/Tabela2[[#This Row],[Preço (R$/saca)_Época da Colheita]]</f>
        <v>1.161338640670645</v>
      </c>
    </row>
    <row r="70" spans="1:26" x14ac:dyDescent="0.25">
      <c r="A70" s="7">
        <v>2012</v>
      </c>
      <c r="B70" s="2">
        <v>6</v>
      </c>
      <c r="C70" s="2" t="str">
        <f t="shared" ref="C70:C124" si="29">CONCATENATE(B70,"-",A70)</f>
        <v>6-2012</v>
      </c>
      <c r="D70" s="13">
        <v>41061</v>
      </c>
      <c r="E70" s="2">
        <v>33.182499999999997</v>
      </c>
      <c r="F70" s="2">
        <v>68.05</v>
      </c>
      <c r="G70" s="2">
        <f t="shared" si="20"/>
        <v>2.0507797784977022</v>
      </c>
      <c r="H70" s="6">
        <f>INDEX('Taxa de Juros (Ano)'!C:C,MATCH(Base!A70,'Taxa de Juros (Ano)'!A:A,0),1)</f>
        <v>6.8083333333333338E-3</v>
      </c>
      <c r="I70" s="9" t="str">
        <f t="shared" si="21"/>
        <v>3-2012</v>
      </c>
      <c r="J70" s="2">
        <f t="shared" si="22"/>
        <v>54.926818181818163</v>
      </c>
      <c r="K70" s="1">
        <f t="shared" si="23"/>
        <v>1.1218802613636361</v>
      </c>
      <c r="L70">
        <v>10.633414468135818</v>
      </c>
      <c r="M70">
        <f t="shared" ref="M70:M124" si="30">IF(B70&lt;=$B$1,0,B70-$B$1)</f>
        <v>3</v>
      </c>
      <c r="N70" s="12" t="str">
        <f t="shared" si="24"/>
        <v>3-2012</v>
      </c>
      <c r="Q70">
        <f>INDEX(SIARMA!D:D,MATCH(Base!M70,SIARMA!A:A,0),1)</f>
        <v>1.1523333333333334</v>
      </c>
      <c r="R70" s="2">
        <f t="shared" si="25"/>
        <v>55.142371937167212</v>
      </c>
      <c r="S70" s="2">
        <f t="shared" si="26"/>
        <v>11.790508544303677</v>
      </c>
      <c r="U70" s="17">
        <f t="shared" si="27"/>
        <v>11.790508544303677</v>
      </c>
      <c r="V70" s="17">
        <f t="shared" si="28"/>
        <v>0</v>
      </c>
      <c r="W70" s="21">
        <f>Tabela2[[#This Row],[Transporte (R$/saca)]]/Tabela2[[#This Row],[Preço (R$/saca) - Paranaguá]]</f>
        <v>0.1562588459681972</v>
      </c>
      <c r="X70">
        <f>INDEX(L:L,MATCH(Tabela2[[#This Row],[Chave-Colheita]],C:C,0),1)</f>
        <v>11.574954788954631</v>
      </c>
      <c r="Y70" s="1">
        <f>Tabela2[[#This Row],[Transporte (R$/saca)]]/Tabela1[[#This Row],[Transporte (R$/saca)_Colheita]]</f>
        <v>0.91865710596837269</v>
      </c>
      <c r="Z70" s="1">
        <f>Tabela2[[#This Row],[Preço (R$/saca) - Paranaguá]]/Tabela2[[#This Row],[Preço (R$/saca)_Época da Colheita]]</f>
        <v>1.2389212092122579</v>
      </c>
    </row>
    <row r="71" spans="1:26" x14ac:dyDescent="0.25">
      <c r="A71" s="7">
        <v>2012</v>
      </c>
      <c r="B71" s="2">
        <v>7</v>
      </c>
      <c r="C71" s="2" t="str">
        <f t="shared" si="29"/>
        <v>7-2012</v>
      </c>
      <c r="D71" s="13">
        <v>41091</v>
      </c>
      <c r="E71" s="2">
        <v>39.100454545454539</v>
      </c>
      <c r="F71" s="2">
        <v>79.355909090909094</v>
      </c>
      <c r="G71" s="2">
        <f t="shared" si="20"/>
        <v>2.0295392985433796</v>
      </c>
      <c r="H71" s="6">
        <f>INDEX('Taxa de Juros (Ano)'!C:C,MATCH(Base!A71,'Taxa de Juros (Ano)'!A:A,0),1)</f>
        <v>6.8083333333333338E-3</v>
      </c>
      <c r="I71" s="9" t="str">
        <f t="shared" si="21"/>
        <v>3-2012</v>
      </c>
      <c r="J71" s="2">
        <f t="shared" si="22"/>
        <v>54.926818181818163</v>
      </c>
      <c r="K71" s="1">
        <f t="shared" si="23"/>
        <v>1.4958403484848481</v>
      </c>
      <c r="L71">
        <v>11.183226991291521</v>
      </c>
      <c r="M71">
        <f t="shared" si="30"/>
        <v>4</v>
      </c>
      <c r="N71" s="12" t="str">
        <f t="shared" si="24"/>
        <v>4-2012</v>
      </c>
      <c r="Q71">
        <f>INDEX(SIARMA!D:D,MATCH(Base!M71,SIARMA!A:A,0),1)</f>
        <v>1.289666666666667</v>
      </c>
      <c r="R71" s="2">
        <f t="shared" si="25"/>
        <v>65.387175084466065</v>
      </c>
      <c r="S71" s="2">
        <f t="shared" si="26"/>
        <v>22.03531169160253</v>
      </c>
      <c r="U71" s="17">
        <f t="shared" si="27"/>
        <v>22.03531169160253</v>
      </c>
      <c r="V71" s="17">
        <f t="shared" si="28"/>
        <v>0</v>
      </c>
      <c r="W71" s="21">
        <f>Tabela2[[#This Row],[Transporte (R$/saca)]]/Tabela2[[#This Row],[Preço (R$/saca) - Paranaguá]]</f>
        <v>0.14092494332690667</v>
      </c>
      <c r="X71">
        <f>INDEX(L:L,MATCH(Tabela2[[#This Row],[Chave-Colheita]],C:C,0),1)</f>
        <v>11.574954788954631</v>
      </c>
      <c r="Y71" s="1">
        <f>Tabela2[[#This Row],[Transporte (R$/saca)]]/Tabela1[[#This Row],[Transporte (R$/saca)_Colheita]]</f>
        <v>0.96615729350088564</v>
      </c>
      <c r="Z71" s="1">
        <f>Tabela2[[#This Row],[Preço (R$/saca) - Paranaguá]]/Tabela2[[#This Row],[Preço (R$/saca)_Época da Colheita]]</f>
        <v>1.444757073461383</v>
      </c>
    </row>
    <row r="72" spans="1:26" x14ac:dyDescent="0.25">
      <c r="A72" s="7">
        <v>2012</v>
      </c>
      <c r="B72" s="2">
        <v>8</v>
      </c>
      <c r="C72" s="2" t="str">
        <f t="shared" si="29"/>
        <v>8-2012</v>
      </c>
      <c r="D72" s="13">
        <v>41122</v>
      </c>
      <c r="E72" s="2">
        <v>42.197826086956532</v>
      </c>
      <c r="F72" s="2">
        <v>85.575217391304349</v>
      </c>
      <c r="G72" s="2">
        <f t="shared" si="20"/>
        <v>2.0279532223996699</v>
      </c>
      <c r="H72" s="6">
        <f>INDEX('Taxa de Juros (Ano)'!C:C,MATCH(Base!A72,'Taxa de Juros (Ano)'!A:A,0),1)</f>
        <v>6.8083333333333338E-3</v>
      </c>
      <c r="I72" s="9" t="str">
        <f t="shared" si="21"/>
        <v>3-2012</v>
      </c>
      <c r="J72" s="2">
        <f t="shared" si="22"/>
        <v>54.926818181818163</v>
      </c>
      <c r="K72" s="1">
        <f t="shared" si="23"/>
        <v>1.8698004356060602</v>
      </c>
      <c r="L72">
        <v>11.986586052127976</v>
      </c>
      <c r="M72">
        <f t="shared" si="30"/>
        <v>5</v>
      </c>
      <c r="N72" s="12" t="str">
        <f t="shared" si="24"/>
        <v>5-2012</v>
      </c>
      <c r="Q72">
        <f>INDEX(SIARMA!D:D,MATCH(Base!M72,SIARMA!A:A,0),1)</f>
        <v>1.4270000000000005</v>
      </c>
      <c r="R72" s="2">
        <f t="shared" si="25"/>
        <v>70.2918309035703</v>
      </c>
      <c r="S72" s="2">
        <f t="shared" si="26"/>
        <v>26.939967510706765</v>
      </c>
      <c r="U72" s="17">
        <f t="shared" si="27"/>
        <v>26.939967510706765</v>
      </c>
      <c r="V72" s="17">
        <f t="shared" si="28"/>
        <v>0</v>
      </c>
      <c r="W72" s="21">
        <f>Tabela2[[#This Row],[Transporte (R$/saca)]]/Tabela2[[#This Row],[Preço (R$/saca) - Paranaguá]]</f>
        <v>0.14007076368053706</v>
      </c>
      <c r="X72">
        <f>INDEX(L:L,MATCH(Tabela2[[#This Row],[Chave-Colheita]],C:C,0),1)</f>
        <v>11.574954788954631</v>
      </c>
      <c r="Y72" s="1">
        <f>Tabela2[[#This Row],[Transporte (R$/saca)]]/Tabela1[[#This Row],[Transporte (R$/saca)_Colheita]]</f>
        <v>1.0355622350737941</v>
      </c>
      <c r="Z72" s="1">
        <f>Tabela2[[#This Row],[Preço (R$/saca) - Paranaguá]]/Tabela2[[#This Row],[Preço (R$/saca)_Época da Colheita]]</f>
        <v>1.5579860662606413</v>
      </c>
    </row>
    <row r="73" spans="1:26" x14ac:dyDescent="0.25">
      <c r="A73" s="7">
        <v>2012</v>
      </c>
      <c r="B73" s="2">
        <v>9</v>
      </c>
      <c r="C73" s="2" t="str">
        <f t="shared" si="29"/>
        <v>9-2012</v>
      </c>
      <c r="D73" s="13">
        <v>41153</v>
      </c>
      <c r="E73" s="2">
        <v>42.827894736842111</v>
      </c>
      <c r="F73" s="2">
        <v>86.823157894736852</v>
      </c>
      <c r="G73" s="2">
        <f t="shared" si="20"/>
        <v>2.0272571983335994</v>
      </c>
      <c r="H73" s="6">
        <f>INDEX('Taxa de Juros (Ano)'!C:C,MATCH(Base!A73,'Taxa de Juros (Ano)'!A:A,0),1)</f>
        <v>6.8083333333333338E-3</v>
      </c>
      <c r="I73" s="9" t="str">
        <f t="shared" si="21"/>
        <v>3-2012</v>
      </c>
      <c r="J73" s="2">
        <f t="shared" si="22"/>
        <v>54.926818181818163</v>
      </c>
      <c r="K73" s="1">
        <f t="shared" si="23"/>
        <v>2.2437605227272721</v>
      </c>
      <c r="L73">
        <v>13.472482394289791</v>
      </c>
      <c r="M73">
        <f t="shared" si="30"/>
        <v>6</v>
      </c>
      <c r="N73" s="12" t="str">
        <f t="shared" si="24"/>
        <v>6-2012</v>
      </c>
      <c r="Q73">
        <f>INDEX(SIARMA!D:D,MATCH(Base!M73,SIARMA!A:A,0),1)</f>
        <v>1.5643333333333338</v>
      </c>
      <c r="R73" s="2">
        <f t="shared" si="25"/>
        <v>69.542581644386459</v>
      </c>
      <c r="S73" s="2">
        <f t="shared" si="26"/>
        <v>26.190718251522924</v>
      </c>
      <c r="U73" s="17">
        <f t="shared" si="27"/>
        <v>26.190718251522924</v>
      </c>
      <c r="V73" s="17">
        <f t="shared" si="28"/>
        <v>0</v>
      </c>
      <c r="W73" s="21">
        <f>Tabela2[[#This Row],[Transporte (R$/saca)]]/Tabela2[[#This Row],[Preço (R$/saca) - Paranaguá]]</f>
        <v>0.15517153166236633</v>
      </c>
      <c r="X73">
        <f>INDEX(L:L,MATCH(Tabela2[[#This Row],[Chave-Colheita]],C:C,0),1)</f>
        <v>11.574954788954631</v>
      </c>
      <c r="Y73" s="1">
        <f>Tabela2[[#This Row],[Transporte (R$/saca)]]/Tabela1[[#This Row],[Transporte (R$/saca)_Colheita]]</f>
        <v>1.1639339107523661</v>
      </c>
      <c r="Z73" s="1">
        <f>Tabela2[[#This Row],[Preço (R$/saca) - Paranaguá]]/Tabela2[[#This Row],[Preço (R$/saca)_Época da Colheita]]</f>
        <v>1.5807061244169609</v>
      </c>
    </row>
    <row r="74" spans="1:26" x14ac:dyDescent="0.25">
      <c r="A74" s="7">
        <v>2012</v>
      </c>
      <c r="B74" s="2">
        <v>10</v>
      </c>
      <c r="C74" s="2" t="str">
        <f t="shared" si="29"/>
        <v>10-2012</v>
      </c>
      <c r="D74" s="13">
        <v>41183</v>
      </c>
      <c r="E74" s="2">
        <v>37.31363636363637</v>
      </c>
      <c r="F74" s="2">
        <v>75.73</v>
      </c>
      <c r="G74" s="2">
        <f t="shared" si="20"/>
        <v>2.0295529297112922</v>
      </c>
      <c r="H74" s="6">
        <f>INDEX('Taxa de Juros (Ano)'!C:C,MATCH(Base!A74,'Taxa de Juros (Ano)'!A:A,0),1)</f>
        <v>6.8083333333333338E-3</v>
      </c>
      <c r="I74" s="9" t="str">
        <f t="shared" si="21"/>
        <v>3-2012</v>
      </c>
      <c r="J74" s="2">
        <f t="shared" si="22"/>
        <v>54.926818181818163</v>
      </c>
      <c r="K74" s="1">
        <f t="shared" si="23"/>
        <v>2.6177206098484844</v>
      </c>
      <c r="L74">
        <v>12.803407015852112</v>
      </c>
      <c r="M74">
        <f t="shared" si="30"/>
        <v>7</v>
      </c>
      <c r="N74" s="12" t="str">
        <f t="shared" si="24"/>
        <v>7-2012</v>
      </c>
      <c r="Q74">
        <f>INDEX(SIARMA!D:D,MATCH(Base!M74,SIARMA!A:A,0),1)</f>
        <v>1.7016666666666673</v>
      </c>
      <c r="R74" s="2">
        <f t="shared" si="25"/>
        <v>58.607205707632737</v>
      </c>
      <c r="S74" s="2">
        <f t="shared" si="26"/>
        <v>15.255342314769202</v>
      </c>
      <c r="U74" s="17">
        <f t="shared" si="27"/>
        <v>15.255342314769202</v>
      </c>
      <c r="V74" s="17">
        <f t="shared" si="28"/>
        <v>0</v>
      </c>
      <c r="W74" s="21">
        <f>Tabela2[[#This Row],[Transporte (R$/saca)]]/Tabela2[[#This Row],[Preço (R$/saca) - Paranaguá]]</f>
        <v>0.16906651281991433</v>
      </c>
      <c r="X74">
        <f>INDEX(L:L,MATCH(Tabela2[[#This Row],[Chave-Colheita]],C:C,0),1)</f>
        <v>11.574954788954631</v>
      </c>
      <c r="Y74" s="1">
        <f>Tabela2[[#This Row],[Transporte (R$/saca)]]/Tabela1[[#This Row],[Transporte (R$/saca)_Colheita]]</f>
        <v>1.106130196557634</v>
      </c>
      <c r="Z74" s="1">
        <f>Tabela2[[#This Row],[Preço (R$/saca) - Paranaguá]]/Tabela2[[#This Row],[Preço (R$/saca)_Época da Colheita]]</f>
        <v>1.3787436175406951</v>
      </c>
    </row>
    <row r="75" spans="1:26" x14ac:dyDescent="0.25">
      <c r="A75" s="7">
        <v>2012</v>
      </c>
      <c r="B75" s="2">
        <v>11</v>
      </c>
      <c r="C75" s="2" t="str">
        <f t="shared" si="29"/>
        <v>11-2012</v>
      </c>
      <c r="D75" s="13">
        <v>41214</v>
      </c>
      <c r="E75" s="2">
        <v>36.578999999999994</v>
      </c>
      <c r="F75" s="2">
        <v>75.73</v>
      </c>
      <c r="G75" s="2">
        <f t="shared" si="20"/>
        <v>2.0703135678941473</v>
      </c>
      <c r="H75" s="6">
        <f>INDEX('Taxa de Juros (Ano)'!C:C,MATCH(Base!A75,'Taxa de Juros (Ano)'!A:A,0),1)</f>
        <v>6.8083333333333338E-3</v>
      </c>
      <c r="I75" s="9" t="str">
        <f t="shared" si="21"/>
        <v>3-2012</v>
      </c>
      <c r="J75" s="2">
        <f t="shared" si="22"/>
        <v>54.926818181818163</v>
      </c>
      <c r="K75" s="1">
        <f t="shared" si="23"/>
        <v>2.9916806969696963</v>
      </c>
      <c r="L75">
        <v>12.841832238937704</v>
      </c>
      <c r="M75">
        <f t="shared" si="30"/>
        <v>8</v>
      </c>
      <c r="N75" s="12" t="str">
        <f t="shared" si="24"/>
        <v>8-2012</v>
      </c>
      <c r="Q75">
        <f>INDEX(SIARMA!D:D,MATCH(Base!M75,SIARMA!A:A,0),1)</f>
        <v>1.8390000000000011</v>
      </c>
      <c r="R75" s="2">
        <f t="shared" si="25"/>
        <v>58.057487064092605</v>
      </c>
      <c r="S75" s="2">
        <f t="shared" si="26"/>
        <v>14.70562367122907</v>
      </c>
      <c r="U75" s="17">
        <f t="shared" si="27"/>
        <v>14.70562367122907</v>
      </c>
      <c r="V75" s="17">
        <f t="shared" si="28"/>
        <v>0</v>
      </c>
      <c r="W75" s="21">
        <f>Tabela2[[#This Row],[Transporte (R$/saca)]]/Tabela2[[#This Row],[Preço (R$/saca) - Paranaguá]]</f>
        <v>0.16957391045738415</v>
      </c>
      <c r="X75">
        <f>INDEX(L:L,MATCH(Tabela2[[#This Row],[Chave-Colheita]],C:C,0),1)</f>
        <v>11.574954788954631</v>
      </c>
      <c r="Y75" s="1">
        <f>Tabela2[[#This Row],[Transporte (R$/saca)]]/Tabela1[[#This Row],[Transporte (R$/saca)_Colheita]]</f>
        <v>1.1094498832247697</v>
      </c>
      <c r="Z75" s="1">
        <f>Tabela2[[#This Row],[Preço (R$/saca) - Paranaguá]]/Tabela2[[#This Row],[Preço (R$/saca)_Época da Colheita]]</f>
        <v>1.3787436175406951</v>
      </c>
    </row>
    <row r="76" spans="1:26" x14ac:dyDescent="0.25">
      <c r="A76" s="7">
        <v>2012</v>
      </c>
      <c r="B76" s="2">
        <v>12</v>
      </c>
      <c r="C76" s="2" t="str">
        <f t="shared" si="29"/>
        <v>12-2012</v>
      </c>
      <c r="D76" s="13">
        <v>41244</v>
      </c>
      <c r="E76" s="2">
        <v>36.413888888888884</v>
      </c>
      <c r="F76" s="2">
        <v>75.73</v>
      </c>
      <c r="G76" s="2">
        <f t="shared" si="20"/>
        <v>2.0797009688000614</v>
      </c>
      <c r="H76" s="6">
        <f>INDEX('Taxa de Juros (Ano)'!C:C,MATCH(Base!A76,'Taxa de Juros (Ano)'!A:A,0),1)</f>
        <v>6.8083333333333338E-3</v>
      </c>
      <c r="I76" s="9" t="str">
        <f t="shared" si="21"/>
        <v>3-2012</v>
      </c>
      <c r="J76" s="2">
        <f t="shared" si="22"/>
        <v>54.926818181818163</v>
      </c>
      <c r="K76" s="1">
        <f t="shared" si="23"/>
        <v>3.3656407840909082</v>
      </c>
      <c r="L76">
        <v>13.391189547294074</v>
      </c>
      <c r="M76">
        <f t="shared" si="30"/>
        <v>9</v>
      </c>
      <c r="N76" s="12" t="str">
        <f t="shared" si="24"/>
        <v>9-2012</v>
      </c>
      <c r="Q76">
        <f>INDEX(SIARMA!D:D,MATCH(Base!M76,SIARMA!A:A,0),1)</f>
        <v>1.9763333333333346</v>
      </c>
      <c r="R76" s="2">
        <f t="shared" si="25"/>
        <v>56.996836335281692</v>
      </c>
      <c r="S76" s="2">
        <f t="shared" si="26"/>
        <v>13.644972942418157</v>
      </c>
      <c r="U76" s="17">
        <f t="shared" si="27"/>
        <v>13.644972942418157</v>
      </c>
      <c r="V76" s="17">
        <f t="shared" si="28"/>
        <v>0</v>
      </c>
      <c r="W76" s="21">
        <f>Tabela2[[#This Row],[Transporte (R$/saca)]]/Tabela2[[#This Row],[Preço (R$/saca) - Paranaguá]]</f>
        <v>0.17682806744083024</v>
      </c>
      <c r="X76">
        <f>INDEX(L:L,MATCH(Tabela2[[#This Row],[Chave-Colheita]],C:C,0),1)</f>
        <v>11.574954788954631</v>
      </c>
      <c r="Y76" s="1">
        <f>Tabela2[[#This Row],[Transporte (R$/saca)]]/Tabela1[[#This Row],[Transporte (R$/saca)_Colheita]]</f>
        <v>1.1569107431912027</v>
      </c>
      <c r="Z76" s="1">
        <f>Tabela2[[#This Row],[Preço (R$/saca) - Paranaguá]]/Tabela2[[#This Row],[Preço (R$/saca)_Época da Colheita]]</f>
        <v>1.3787436175406951</v>
      </c>
    </row>
    <row r="77" spans="1:26" x14ac:dyDescent="0.25">
      <c r="A77" s="7">
        <v>2013</v>
      </c>
      <c r="B77" s="2">
        <v>1</v>
      </c>
      <c r="C77" s="2" t="str">
        <f t="shared" si="29"/>
        <v>1-2013</v>
      </c>
      <c r="D77" s="13">
        <v>41275</v>
      </c>
      <c r="E77" s="2">
        <v>35.462727272727264</v>
      </c>
      <c r="F77" s="2">
        <v>71.992727272727265</v>
      </c>
      <c r="G77" s="2">
        <f t="shared" si="20"/>
        <v>2.0300956189597277</v>
      </c>
      <c r="H77" s="6">
        <f>INDEX('Taxa de Juros (Ano)'!C:C,MATCH(Base!A77,'Taxa de Juros (Ano)'!A:A,0),1)</f>
        <v>6.6000000000000008E-3</v>
      </c>
      <c r="I77" s="9" t="str">
        <f t="shared" si="21"/>
        <v>3-2013</v>
      </c>
      <c r="J77" s="2">
        <f t="shared" si="22"/>
        <v>61.838000000000001</v>
      </c>
      <c r="K77" s="1">
        <f t="shared" si="23"/>
        <v>0</v>
      </c>
      <c r="L77">
        <v>13.492479315627165</v>
      </c>
      <c r="M77">
        <f t="shared" si="30"/>
        <v>0</v>
      </c>
      <c r="N77" s="12" t="str">
        <f t="shared" si="24"/>
        <v>0-2013</v>
      </c>
      <c r="Q77">
        <f>INDEX(SIARMA!D:D,MATCH(Base!M77,SIARMA!A:A,0),1)</f>
        <v>0</v>
      </c>
      <c r="R77" s="2">
        <f t="shared" si="25"/>
        <v>0</v>
      </c>
      <c r="S77" s="2">
        <f t="shared" si="26"/>
        <v>0</v>
      </c>
      <c r="U77" s="17">
        <f t="shared" si="27"/>
        <v>0</v>
      </c>
      <c r="V77" s="17">
        <f t="shared" si="28"/>
        <v>0</v>
      </c>
      <c r="W77" s="21">
        <f>Tabela2[[#This Row],[Transporte (R$/saca)]]/Tabela2[[#This Row],[Preço (R$/saca) - Paranaguá]]</f>
        <v>0.18741447680561019</v>
      </c>
      <c r="X77">
        <f>INDEX(L:L,MATCH(Tabela2[[#This Row],[Chave-Colheita]],C:C,0),1)</f>
        <v>16.191556733843065</v>
      </c>
      <c r="Y77" s="1">
        <f>Tabela2[[#This Row],[Transporte (R$/saca)]]/Tabela1[[#This Row],[Transporte (R$/saca)_Colheita]]</f>
        <v>0.83330340234831302</v>
      </c>
      <c r="Z77" s="1">
        <f>Tabela2[[#This Row],[Preço (R$/saca) - Paranaguá]]/Tabela2[[#This Row],[Preço (R$/saca)_Época da Colheita]]</f>
        <v>1.164215001661232</v>
      </c>
    </row>
    <row r="78" spans="1:26" x14ac:dyDescent="0.25">
      <c r="A78" s="7">
        <v>2013</v>
      </c>
      <c r="B78" s="2">
        <v>2</v>
      </c>
      <c r="C78" s="2" t="str">
        <f t="shared" si="29"/>
        <v>2-2013</v>
      </c>
      <c r="D78" s="13">
        <v>41306</v>
      </c>
      <c r="E78" s="2">
        <v>32.427777777777777</v>
      </c>
      <c r="F78" s="2">
        <v>64.007777777777775</v>
      </c>
      <c r="G78" s="2">
        <f t="shared" si="20"/>
        <v>1.9738564330991948</v>
      </c>
      <c r="H78" s="6">
        <f>INDEX('Taxa de Juros (Ano)'!C:C,MATCH(Base!A78,'Taxa de Juros (Ano)'!A:A,0),1)</f>
        <v>6.6000000000000008E-3</v>
      </c>
      <c r="I78" s="9" t="str">
        <f t="shared" si="21"/>
        <v>3-2013</v>
      </c>
      <c r="J78" s="2">
        <f t="shared" si="22"/>
        <v>61.838000000000001</v>
      </c>
      <c r="K78" s="1">
        <f t="shared" si="23"/>
        <v>0</v>
      </c>
      <c r="L78">
        <v>15.710027943645439</v>
      </c>
      <c r="M78">
        <f t="shared" si="30"/>
        <v>0</v>
      </c>
      <c r="N78" s="12" t="str">
        <f t="shared" si="24"/>
        <v>0-2013</v>
      </c>
      <c r="Q78">
        <f>INDEX(SIARMA!D:D,MATCH(Base!M78,SIARMA!A:A,0),1)</f>
        <v>0</v>
      </c>
      <c r="R78" s="2">
        <f t="shared" si="25"/>
        <v>0</v>
      </c>
      <c r="S78" s="2">
        <f t="shared" si="26"/>
        <v>0</v>
      </c>
      <c r="U78" s="17">
        <f t="shared" si="27"/>
        <v>0</v>
      </c>
      <c r="V78" s="17">
        <f t="shared" si="28"/>
        <v>0</v>
      </c>
      <c r="W78" s="21">
        <f>Tabela2[[#This Row],[Transporte (R$/saca)]]/Tabela2[[#This Row],[Preço (R$/saca) - Paranaguá]]</f>
        <v>0.24543935891959129</v>
      </c>
      <c r="X78">
        <f>INDEX(L:L,MATCH(Tabela2[[#This Row],[Chave-Colheita]],C:C,0),1)</f>
        <v>16.191556733843065</v>
      </c>
      <c r="Y78" s="1">
        <f>Tabela2[[#This Row],[Transporte (R$/saca)]]/Tabela1[[#This Row],[Transporte (R$/saca)_Colheita]]</f>
        <v>0.97026050069718439</v>
      </c>
      <c r="Z78" s="1">
        <f>Tabela2[[#This Row],[Preço (R$/saca) - Paranaguá]]/Tabela2[[#This Row],[Preço (R$/saca)_Época da Colheita]]</f>
        <v>1.0350880975739476</v>
      </c>
    </row>
    <row r="79" spans="1:26" x14ac:dyDescent="0.25">
      <c r="A79" s="7">
        <v>2013</v>
      </c>
      <c r="B79" s="2">
        <v>3</v>
      </c>
      <c r="C79" s="2" t="str">
        <f t="shared" si="29"/>
        <v>3-2013</v>
      </c>
      <c r="D79" s="13">
        <v>41334</v>
      </c>
      <c r="E79" s="2">
        <v>31.152999999999999</v>
      </c>
      <c r="F79" s="2">
        <v>61.838000000000001</v>
      </c>
      <c r="G79" s="2">
        <f t="shared" si="20"/>
        <v>1.9849773697557218</v>
      </c>
      <c r="H79" s="6">
        <f>INDEX('Taxa de Juros (Ano)'!C:C,MATCH(Base!A79,'Taxa de Juros (Ano)'!A:A,0),1)</f>
        <v>6.6000000000000008E-3</v>
      </c>
      <c r="I79" s="9" t="str">
        <f t="shared" si="21"/>
        <v>3-2013</v>
      </c>
      <c r="J79" s="2">
        <f t="shared" si="22"/>
        <v>61.838000000000001</v>
      </c>
      <c r="K79" s="1">
        <f t="shared" si="23"/>
        <v>0</v>
      </c>
      <c r="L79">
        <v>16.191556733843065</v>
      </c>
      <c r="M79">
        <f t="shared" si="30"/>
        <v>0</v>
      </c>
      <c r="N79" s="12" t="str">
        <f t="shared" si="24"/>
        <v>0-2013</v>
      </c>
      <c r="Q79">
        <f>INDEX(SIARMA!D:D,MATCH(Base!M79,SIARMA!A:A,0),1)</f>
        <v>0</v>
      </c>
      <c r="R79" s="2">
        <f t="shared" si="25"/>
        <v>45.646443266156936</v>
      </c>
      <c r="S79" s="2">
        <f t="shared" si="26"/>
        <v>0</v>
      </c>
      <c r="U79" s="17">
        <f t="shared" si="27"/>
        <v>0</v>
      </c>
      <c r="V79" s="17">
        <f t="shared" si="28"/>
        <v>0</v>
      </c>
      <c r="W79" s="21">
        <f>Tabela2[[#This Row],[Transporte (R$/saca)]]/Tabela2[[#This Row],[Preço (R$/saca) - Paranaguá]]</f>
        <v>0.26183829900454519</v>
      </c>
      <c r="X79">
        <f>INDEX(L:L,MATCH(Tabela2[[#This Row],[Chave-Colheita]],C:C,0),1)</f>
        <v>16.191556733843065</v>
      </c>
      <c r="Y79" s="1">
        <f>Tabela2[[#This Row],[Transporte (R$/saca)]]/Tabela1[[#This Row],[Transporte (R$/saca)_Colheita]]</f>
        <v>1</v>
      </c>
      <c r="Z79" s="1">
        <f>Tabela2[[#This Row],[Preço (R$/saca) - Paranaguá]]/Tabela2[[#This Row],[Preço (R$/saca)_Época da Colheita]]</f>
        <v>1</v>
      </c>
    </row>
    <row r="80" spans="1:26" x14ac:dyDescent="0.25">
      <c r="A80" s="7">
        <v>2013</v>
      </c>
      <c r="B80" s="2">
        <v>4</v>
      </c>
      <c r="C80" s="2" t="str">
        <f t="shared" si="29"/>
        <v>4-2013</v>
      </c>
      <c r="D80" s="13">
        <v>41365</v>
      </c>
      <c r="E80" s="2">
        <v>29.683636363636364</v>
      </c>
      <c r="F80" s="2">
        <v>59.449545454545451</v>
      </c>
      <c r="G80" s="2">
        <f t="shared" si="20"/>
        <v>2.0027716525787085</v>
      </c>
      <c r="H80" s="6">
        <f>INDEX('Taxa de Juros (Ano)'!C:C,MATCH(Base!A80,'Taxa de Juros (Ano)'!A:A,0),1)</f>
        <v>6.6000000000000008E-3</v>
      </c>
      <c r="I80" s="9" t="str">
        <f t="shared" si="21"/>
        <v>3-2013</v>
      </c>
      <c r="J80" s="2">
        <f t="shared" si="22"/>
        <v>61.838000000000001</v>
      </c>
      <c r="K80" s="1">
        <f t="shared" si="23"/>
        <v>0.40813080000000007</v>
      </c>
      <c r="L80">
        <v>15.22464645771495</v>
      </c>
      <c r="M80">
        <f t="shared" si="30"/>
        <v>1</v>
      </c>
      <c r="N80" s="12" t="str">
        <f t="shared" si="24"/>
        <v>1-2013</v>
      </c>
      <c r="Q80">
        <f>INDEX(SIARMA!D:D,MATCH(Base!M80,SIARMA!A:A,0),1)</f>
        <v>0.92800000000000016</v>
      </c>
      <c r="R80" s="2">
        <f t="shared" si="25"/>
        <v>42.888768196830505</v>
      </c>
      <c r="S80" s="2">
        <f t="shared" si="26"/>
        <v>-2.7576750693264316</v>
      </c>
      <c r="U80" s="17">
        <f t="shared" si="27"/>
        <v>0</v>
      </c>
      <c r="V80" s="17">
        <f t="shared" si="28"/>
        <v>-2.7576750693264316</v>
      </c>
      <c r="W80" s="21">
        <f>Tabela2[[#This Row],[Transporte (R$/saca)]]/Tabela2[[#This Row],[Preço (R$/saca) - Paranaguá]]</f>
        <v>0.25609357214270995</v>
      </c>
      <c r="X80">
        <f>INDEX(L:L,MATCH(Tabela2[[#This Row],[Chave-Colheita]],C:C,0),1)</f>
        <v>16.191556733843065</v>
      </c>
      <c r="Y80" s="1">
        <f>Tabela2[[#This Row],[Transporte (R$/saca)]]/Tabela1[[#This Row],[Transporte (R$/saca)_Colheita]]</f>
        <v>0.94028305665587364</v>
      </c>
      <c r="Z80" s="1">
        <f>Tabela2[[#This Row],[Preço (R$/saca) - Paranaguá]]/Tabela2[[#This Row],[Preço (R$/saca)_Época da Colheita]]</f>
        <v>0.96137561781664105</v>
      </c>
    </row>
    <row r="81" spans="1:26" x14ac:dyDescent="0.25">
      <c r="A81" s="7">
        <v>2013</v>
      </c>
      <c r="B81" s="2">
        <v>5</v>
      </c>
      <c r="C81" s="2" t="str">
        <f t="shared" si="29"/>
        <v>5-2013</v>
      </c>
      <c r="D81" s="13">
        <v>41395</v>
      </c>
      <c r="E81" s="2">
        <v>30.34809523809524</v>
      </c>
      <c r="F81" s="2">
        <v>61.887619047619054</v>
      </c>
      <c r="G81" s="2">
        <f t="shared" si="20"/>
        <v>2.039258759473412</v>
      </c>
      <c r="H81" s="6">
        <f>INDEX('Taxa de Juros (Ano)'!C:C,MATCH(Base!A81,'Taxa de Juros (Ano)'!A:A,0),1)</f>
        <v>6.6000000000000008E-3</v>
      </c>
      <c r="I81" s="9" t="str">
        <f t="shared" si="21"/>
        <v>3-2013</v>
      </c>
      <c r="J81" s="2">
        <f t="shared" si="22"/>
        <v>61.838000000000001</v>
      </c>
      <c r="K81" s="1">
        <f t="shared" si="23"/>
        <v>0.81626160000000014</v>
      </c>
      <c r="L81">
        <v>13.210657022261449</v>
      </c>
      <c r="M81">
        <f t="shared" si="30"/>
        <v>2</v>
      </c>
      <c r="N81" s="12" t="str">
        <f t="shared" si="24"/>
        <v>2-2013</v>
      </c>
      <c r="Q81">
        <f>INDEX(SIARMA!D:D,MATCH(Base!M81,SIARMA!A:A,0),1)</f>
        <v>1.0149999999999999</v>
      </c>
      <c r="R81" s="2">
        <f t="shared" si="25"/>
        <v>46.845700425357606</v>
      </c>
      <c r="S81" s="2">
        <f t="shared" si="26"/>
        <v>1.1992571592006698</v>
      </c>
      <c r="U81" s="17">
        <f t="shared" si="27"/>
        <v>1.1992571592006698</v>
      </c>
      <c r="V81" s="17">
        <f t="shared" si="28"/>
        <v>0</v>
      </c>
      <c r="W81" s="21">
        <f>Tabela2[[#This Row],[Transporte (R$/saca)]]/Tabela2[[#This Row],[Preço (R$/saca) - Paranaguá]]</f>
        <v>0.21346203369201502</v>
      </c>
      <c r="X81">
        <f>INDEX(L:L,MATCH(Tabela2[[#This Row],[Chave-Colheita]],C:C,0),1)</f>
        <v>16.191556733843065</v>
      </c>
      <c r="Y81" s="1">
        <f>Tabela2[[#This Row],[Transporte (R$/saca)]]/Tabela1[[#This Row],[Transporte (R$/saca)_Colheita]]</f>
        <v>0.81589789292149806</v>
      </c>
      <c r="Z81" s="1">
        <f>Tabela2[[#This Row],[Preço (R$/saca) - Paranaguá]]/Tabela2[[#This Row],[Preço (R$/saca)_Época da Colheita]]</f>
        <v>1.0008024038232002</v>
      </c>
    </row>
    <row r="82" spans="1:26" x14ac:dyDescent="0.25">
      <c r="A82" s="7">
        <v>2013</v>
      </c>
      <c r="B82" s="2">
        <v>6</v>
      </c>
      <c r="C82" s="2" t="str">
        <f t="shared" si="29"/>
        <v>6-2013</v>
      </c>
      <c r="D82" s="13">
        <v>41426</v>
      </c>
      <c r="E82" s="2">
        <v>31.606999999999999</v>
      </c>
      <c r="F82" s="2">
        <v>68.724000000000018</v>
      </c>
      <c r="G82" s="2">
        <f t="shared" si="20"/>
        <v>2.1743284715411151</v>
      </c>
      <c r="H82" s="6">
        <f>INDEX('Taxa de Juros (Ano)'!C:C,MATCH(Base!A82,'Taxa de Juros (Ano)'!A:A,0),1)</f>
        <v>6.6000000000000008E-3</v>
      </c>
      <c r="I82" s="9" t="str">
        <f t="shared" si="21"/>
        <v>3-2013</v>
      </c>
      <c r="J82" s="2">
        <f t="shared" si="22"/>
        <v>61.838000000000001</v>
      </c>
      <c r="K82" s="1">
        <f t="shared" si="23"/>
        <v>1.2243924000000002</v>
      </c>
      <c r="L82">
        <v>13.460078943968611</v>
      </c>
      <c r="M82">
        <f t="shared" si="30"/>
        <v>3</v>
      </c>
      <c r="N82" s="12" t="str">
        <f t="shared" si="24"/>
        <v>3-2013</v>
      </c>
      <c r="Q82">
        <f>INDEX(SIARMA!D:D,MATCH(Base!M82,SIARMA!A:A,0),1)</f>
        <v>1.1523333333333334</v>
      </c>
      <c r="R82" s="2">
        <f t="shared" si="25"/>
        <v>52.887195322698076</v>
      </c>
      <c r="S82" s="2">
        <f t="shared" si="26"/>
        <v>7.2407520565411403</v>
      </c>
      <c r="U82" s="17">
        <f t="shared" si="27"/>
        <v>7.2407520565411403</v>
      </c>
      <c r="V82" s="17">
        <f t="shared" si="28"/>
        <v>0</v>
      </c>
      <c r="W82" s="21">
        <f>Tabela2[[#This Row],[Transporte (R$/saca)]]/Tabela2[[#This Row],[Preço (R$/saca) - Paranaguá]]</f>
        <v>0.19585703602771387</v>
      </c>
      <c r="X82">
        <f>INDEX(L:L,MATCH(Tabela2[[#This Row],[Chave-Colheita]],C:C,0),1)</f>
        <v>16.191556733843065</v>
      </c>
      <c r="Y82" s="1">
        <f>Tabela2[[#This Row],[Transporte (R$/saca)]]/Tabela1[[#This Row],[Transporte (R$/saca)_Colheita]]</f>
        <v>0.83130233647236595</v>
      </c>
      <c r="Z82" s="1">
        <f>Tabela2[[#This Row],[Preço (R$/saca) - Paranaguá]]/Tabela2[[#This Row],[Preço (R$/saca)_Época da Colheita]]</f>
        <v>1.1113554772146579</v>
      </c>
    </row>
    <row r="83" spans="1:26" x14ac:dyDescent="0.25">
      <c r="A83" s="7">
        <v>2013</v>
      </c>
      <c r="B83" s="2">
        <v>7</v>
      </c>
      <c r="C83" s="2" t="str">
        <f t="shared" si="29"/>
        <v>7-2013</v>
      </c>
      <c r="D83" s="13">
        <v>41456</v>
      </c>
      <c r="E83" s="2">
        <v>30.778695652173912</v>
      </c>
      <c r="F83" s="2">
        <v>69.318695652173901</v>
      </c>
      <c r="G83" s="2">
        <f t="shared" si="20"/>
        <v>2.2521648232119897</v>
      </c>
      <c r="H83" s="6">
        <f>INDEX('Taxa de Juros (Ano)'!C:C,MATCH(Base!A83,'Taxa de Juros (Ano)'!A:A,0),1)</f>
        <v>6.6000000000000008E-3</v>
      </c>
      <c r="I83" s="9" t="str">
        <f t="shared" si="21"/>
        <v>3-2013</v>
      </c>
      <c r="J83" s="2">
        <f t="shared" si="22"/>
        <v>61.838000000000001</v>
      </c>
      <c r="K83" s="1">
        <f t="shared" si="23"/>
        <v>1.6325232000000003</v>
      </c>
      <c r="L83">
        <v>13.878552163704049</v>
      </c>
      <c r="M83">
        <f t="shared" si="30"/>
        <v>4</v>
      </c>
      <c r="N83" s="12" t="str">
        <f t="shared" si="24"/>
        <v>4-2013</v>
      </c>
      <c r="Q83">
        <f>INDEX(SIARMA!D:D,MATCH(Base!M83,SIARMA!A:A,0),1)</f>
        <v>1.289666666666667</v>
      </c>
      <c r="R83" s="2">
        <f t="shared" si="25"/>
        <v>52.517953621803187</v>
      </c>
      <c r="S83" s="2">
        <f t="shared" si="26"/>
        <v>6.8715103556462509</v>
      </c>
      <c r="U83" s="17">
        <f t="shared" si="27"/>
        <v>6.8715103556462509</v>
      </c>
      <c r="V83" s="17">
        <f t="shared" si="28"/>
        <v>0</v>
      </c>
      <c r="W83" s="21">
        <f>Tabela2[[#This Row],[Transporte (R$/saca)]]/Tabela2[[#This Row],[Preço (R$/saca) - Paranaguá]]</f>
        <v>0.20021369463360356</v>
      </c>
      <c r="X83">
        <f>INDEX(L:L,MATCH(Tabela2[[#This Row],[Chave-Colheita]],C:C,0),1)</f>
        <v>16.191556733843065</v>
      </c>
      <c r="Y83" s="1">
        <f>Tabela2[[#This Row],[Transporte (R$/saca)]]/Tabela1[[#This Row],[Transporte (R$/saca)_Colheita]]</f>
        <v>0.85714748691801512</v>
      </c>
      <c r="Z83" s="1">
        <f>Tabela2[[#This Row],[Preço (R$/saca) - Paranaguá]]/Tabela2[[#This Row],[Preço (R$/saca)_Época da Colheita]]</f>
        <v>1.1209724708459829</v>
      </c>
    </row>
    <row r="84" spans="1:26" x14ac:dyDescent="0.25">
      <c r="A84" s="7">
        <v>2013</v>
      </c>
      <c r="B84" s="2">
        <v>8</v>
      </c>
      <c r="C84" s="2" t="str">
        <f t="shared" si="29"/>
        <v>8-2013</v>
      </c>
      <c r="D84" s="13">
        <v>41487</v>
      </c>
      <c r="E84" s="2">
        <v>29.777272727272734</v>
      </c>
      <c r="F84" s="2">
        <v>69.884090909090901</v>
      </c>
      <c r="G84" s="2">
        <f t="shared" si="20"/>
        <v>2.3468936040299182</v>
      </c>
      <c r="H84" s="6">
        <f>INDEX('Taxa de Juros (Ano)'!C:C,MATCH(Base!A84,'Taxa de Juros (Ano)'!A:A,0),1)</f>
        <v>6.6000000000000008E-3</v>
      </c>
      <c r="I84" s="9" t="str">
        <f t="shared" si="21"/>
        <v>3-2013</v>
      </c>
      <c r="J84" s="2">
        <f t="shared" si="22"/>
        <v>61.838000000000001</v>
      </c>
      <c r="K84" s="1">
        <f t="shared" si="23"/>
        <v>2.0406540000000004</v>
      </c>
      <c r="L84">
        <v>13.923746945911017</v>
      </c>
      <c r="M84">
        <f t="shared" si="30"/>
        <v>5</v>
      </c>
      <c r="N84" s="12" t="str">
        <f t="shared" si="24"/>
        <v>5-2013</v>
      </c>
      <c r="Q84">
        <f>INDEX(SIARMA!D:D,MATCH(Base!M84,SIARMA!A:A,0),1)</f>
        <v>1.4270000000000005</v>
      </c>
      <c r="R84" s="2">
        <f t="shared" si="25"/>
        <v>52.49268996317987</v>
      </c>
      <c r="S84" s="2">
        <f t="shared" si="26"/>
        <v>6.8462466970229343</v>
      </c>
      <c r="U84" s="17">
        <f t="shared" si="27"/>
        <v>6.8462466970229343</v>
      </c>
      <c r="V84" s="17">
        <f t="shared" si="28"/>
        <v>0</v>
      </c>
      <c r="W84" s="21">
        <f>Tabela2[[#This Row],[Transporte (R$/saca)]]/Tabela2[[#This Row],[Preço (R$/saca) - Paranaguá]]</f>
        <v>0.19924058200919861</v>
      </c>
      <c r="X84">
        <f>INDEX(L:L,MATCH(Tabela2[[#This Row],[Chave-Colheita]],C:C,0),1)</f>
        <v>16.191556733843065</v>
      </c>
      <c r="Y84" s="1">
        <f>Tabela2[[#This Row],[Transporte (R$/saca)]]/Tabela1[[#This Row],[Transporte (R$/saca)_Colheita]]</f>
        <v>0.85993874306156459</v>
      </c>
      <c r="Z84" s="1">
        <f>Tabela2[[#This Row],[Preço (R$/saca) - Paranaguá]]/Tabela2[[#This Row],[Preço (R$/saca)_Época da Colheita]]</f>
        <v>1.1301156393979577</v>
      </c>
    </row>
    <row r="85" spans="1:26" x14ac:dyDescent="0.25">
      <c r="A85" s="7">
        <v>2013</v>
      </c>
      <c r="B85" s="2">
        <v>9</v>
      </c>
      <c r="C85" s="2" t="str">
        <f t="shared" si="29"/>
        <v>9-2013</v>
      </c>
      <c r="D85" s="13">
        <v>41518</v>
      </c>
      <c r="E85" s="2">
        <v>32.420476190476194</v>
      </c>
      <c r="F85" s="2">
        <v>73.469523809523835</v>
      </c>
      <c r="G85" s="2">
        <f t="shared" si="20"/>
        <v>2.2661457338836426</v>
      </c>
      <c r="H85" s="6">
        <f>INDEX('Taxa de Juros (Ano)'!C:C,MATCH(Base!A85,'Taxa de Juros (Ano)'!A:A,0),1)</f>
        <v>6.6000000000000008E-3</v>
      </c>
      <c r="I85" s="9" t="str">
        <f t="shared" si="21"/>
        <v>3-2013</v>
      </c>
      <c r="J85" s="2">
        <f t="shared" si="22"/>
        <v>61.838000000000001</v>
      </c>
      <c r="K85" s="1">
        <f t="shared" si="23"/>
        <v>2.4487848000000003</v>
      </c>
      <c r="L85">
        <v>14.297810391733</v>
      </c>
      <c r="M85">
        <f t="shared" si="30"/>
        <v>6</v>
      </c>
      <c r="N85" s="12" t="str">
        <f t="shared" si="24"/>
        <v>6-2013</v>
      </c>
      <c r="Q85">
        <f>INDEX(SIARMA!D:D,MATCH(Base!M85,SIARMA!A:A,0),1)</f>
        <v>1.5643333333333338</v>
      </c>
      <c r="R85" s="2">
        <f t="shared" si="25"/>
        <v>55.158595284457498</v>
      </c>
      <c r="S85" s="2">
        <f t="shared" si="26"/>
        <v>9.5121520183005615</v>
      </c>
      <c r="U85" s="17">
        <f t="shared" si="27"/>
        <v>9.5121520183005615</v>
      </c>
      <c r="V85" s="17">
        <f t="shared" si="28"/>
        <v>0</v>
      </c>
      <c r="W85" s="21">
        <f>Tabela2[[#This Row],[Transporte (R$/saca)]]/Tabela2[[#This Row],[Preço (R$/saca) - Paranaguá]]</f>
        <v>0.19460872550094818</v>
      </c>
      <c r="X85">
        <f>INDEX(L:L,MATCH(Tabela2[[#This Row],[Chave-Colheita]],C:C,0),1)</f>
        <v>16.191556733843065</v>
      </c>
      <c r="Y85" s="1">
        <f>Tabela2[[#This Row],[Transporte (R$/saca)]]/Tabela1[[#This Row],[Transporte (R$/saca)_Colheita]]</f>
        <v>0.88304111993432866</v>
      </c>
      <c r="Z85" s="1">
        <f>Tabela2[[#This Row],[Preço (R$/saca) - Paranaguá]]/Tabela2[[#This Row],[Preço (R$/saca)_Época da Colheita]]</f>
        <v>1.1880967012116148</v>
      </c>
    </row>
    <row r="86" spans="1:26" x14ac:dyDescent="0.25">
      <c r="A86" s="7">
        <v>2013</v>
      </c>
      <c r="B86" s="2">
        <v>10</v>
      </c>
      <c r="C86" s="2" t="str">
        <f t="shared" si="29"/>
        <v>10-2013</v>
      </c>
      <c r="D86" s="13">
        <v>41548</v>
      </c>
      <c r="E86" s="2">
        <v>33.696521739130432</v>
      </c>
      <c r="F86" s="2">
        <v>73.839130434782618</v>
      </c>
      <c r="G86" s="2">
        <f t="shared" si="20"/>
        <v>2.1912982890764114</v>
      </c>
      <c r="H86" s="6">
        <f>INDEX('Taxa de Juros (Ano)'!C:C,MATCH(Base!A86,'Taxa de Juros (Ano)'!A:A,0),1)</f>
        <v>6.6000000000000008E-3</v>
      </c>
      <c r="I86" s="9" t="str">
        <f t="shared" si="21"/>
        <v>3-2013</v>
      </c>
      <c r="J86" s="2">
        <f t="shared" si="22"/>
        <v>61.838000000000001</v>
      </c>
      <c r="K86" s="1">
        <f t="shared" si="23"/>
        <v>2.8569156000000007</v>
      </c>
      <c r="L86">
        <v>13.070926913083175</v>
      </c>
      <c r="M86">
        <f t="shared" si="30"/>
        <v>7</v>
      </c>
      <c r="N86" s="12" t="str">
        <f t="shared" si="24"/>
        <v>7-2013</v>
      </c>
      <c r="Q86">
        <f>INDEX(SIARMA!D:D,MATCH(Base!M86,SIARMA!A:A,0),1)</f>
        <v>1.7016666666666673</v>
      </c>
      <c r="R86" s="2">
        <f t="shared" si="25"/>
        <v>56.209621255032772</v>
      </c>
      <c r="S86" s="2">
        <f t="shared" si="26"/>
        <v>10.563177988875836</v>
      </c>
      <c r="U86" s="17">
        <f t="shared" si="27"/>
        <v>10.563177988875836</v>
      </c>
      <c r="V86" s="17">
        <f t="shared" si="28"/>
        <v>0</v>
      </c>
      <c r="W86" s="21">
        <f>Tabela2[[#This Row],[Transporte (R$/saca)]]/Tabela2[[#This Row],[Preço (R$/saca) - Paranaguá]]</f>
        <v>0.17701897132480304</v>
      </c>
      <c r="X86">
        <f>INDEX(L:L,MATCH(Tabela2[[#This Row],[Chave-Colheita]],C:C,0),1)</f>
        <v>16.191556733843065</v>
      </c>
      <c r="Y86" s="1">
        <f>Tabela2[[#This Row],[Transporte (R$/saca)]]/Tabela1[[#This Row],[Transporte (R$/saca)_Colheita]]</f>
        <v>0.80726807977411763</v>
      </c>
      <c r="Z86" s="1">
        <f>Tabela2[[#This Row],[Preço (R$/saca) - Paranaguá]]/Tabela2[[#This Row],[Preço (R$/saca)_Época da Colheita]]</f>
        <v>1.194073715753786</v>
      </c>
    </row>
    <row r="87" spans="1:26" x14ac:dyDescent="0.25">
      <c r="A87" s="7">
        <v>2013</v>
      </c>
      <c r="B87" s="2">
        <v>11</v>
      </c>
      <c r="C87" s="2" t="str">
        <f t="shared" si="29"/>
        <v>11-2013</v>
      </c>
      <c r="D87" s="13">
        <v>41579</v>
      </c>
      <c r="E87" s="2">
        <v>33.21050000000001</v>
      </c>
      <c r="F87" s="2">
        <v>76.349999999999994</v>
      </c>
      <c r="G87" s="2">
        <f t="shared" si="20"/>
        <v>2.2989717107541279</v>
      </c>
      <c r="H87" s="6">
        <f>INDEX('Taxa de Juros (Ano)'!C:C,MATCH(Base!A87,'Taxa de Juros (Ano)'!A:A,0),1)</f>
        <v>6.6000000000000008E-3</v>
      </c>
      <c r="I87" s="9" t="str">
        <f t="shared" si="21"/>
        <v>3-2013</v>
      </c>
      <c r="J87" s="2">
        <f t="shared" si="22"/>
        <v>61.838000000000001</v>
      </c>
      <c r="K87" s="1">
        <f t="shared" si="23"/>
        <v>3.2650464000000006</v>
      </c>
      <c r="L87">
        <v>12.445793562227527</v>
      </c>
      <c r="M87">
        <f t="shared" si="30"/>
        <v>8</v>
      </c>
      <c r="N87" s="12" t="str">
        <f t="shared" si="24"/>
        <v>8-2013</v>
      </c>
      <c r="Q87">
        <f>INDEX(SIARMA!D:D,MATCH(Base!M87,SIARMA!A:A,0),1)</f>
        <v>1.8390000000000011</v>
      </c>
      <c r="R87" s="2">
        <f t="shared" si="25"/>
        <v>58.800160037772464</v>
      </c>
      <c r="S87" s="2">
        <f t="shared" si="26"/>
        <v>13.153716771615528</v>
      </c>
      <c r="U87" s="17">
        <f t="shared" si="27"/>
        <v>13.153716771615528</v>
      </c>
      <c r="V87" s="17">
        <f t="shared" si="28"/>
        <v>0</v>
      </c>
      <c r="W87" s="21">
        <f>Tabela2[[#This Row],[Transporte (R$/saca)]]/Tabela2[[#This Row],[Preço (R$/saca) - Paranaguá]]</f>
        <v>0.16300973886349088</v>
      </c>
      <c r="X87">
        <f>INDEX(L:L,MATCH(Tabela2[[#This Row],[Chave-Colheita]],C:C,0),1)</f>
        <v>16.191556733843065</v>
      </c>
      <c r="Y87" s="1">
        <f>Tabela2[[#This Row],[Transporte (R$/saca)]]/Tabela1[[#This Row],[Transporte (R$/saca)_Colheita]]</f>
        <v>0.76865947893779318</v>
      </c>
      <c r="Z87" s="1">
        <f>Tabela2[[#This Row],[Preço (R$/saca) - Paranaguá]]/Tabela2[[#This Row],[Preço (R$/saca)_Época da Colheita]]</f>
        <v>1.2346777062647563</v>
      </c>
    </row>
    <row r="88" spans="1:26" x14ac:dyDescent="0.25">
      <c r="A88" s="7">
        <v>2013</v>
      </c>
      <c r="B88" s="2">
        <v>12</v>
      </c>
      <c r="C88" s="2" t="str">
        <f t="shared" si="29"/>
        <v>12-2013</v>
      </c>
      <c r="D88" s="13">
        <v>41609</v>
      </c>
      <c r="E88" s="2">
        <v>32.903684210526315</v>
      </c>
      <c r="F88" s="2">
        <v>77.25</v>
      </c>
      <c r="G88" s="2">
        <f t="shared" si="20"/>
        <v>2.3477614088967802</v>
      </c>
      <c r="H88" s="6">
        <f>INDEX('Taxa de Juros (Ano)'!C:C,MATCH(Base!A88,'Taxa de Juros (Ano)'!A:A,0),1)</f>
        <v>6.6000000000000008E-3</v>
      </c>
      <c r="I88" s="9" t="str">
        <f t="shared" si="21"/>
        <v>3-2013</v>
      </c>
      <c r="J88" s="2">
        <f t="shared" si="22"/>
        <v>61.838000000000001</v>
      </c>
      <c r="K88" s="1">
        <f t="shared" si="23"/>
        <v>3.6731772000000005</v>
      </c>
      <c r="L88">
        <v>11.871280155626923</v>
      </c>
      <c r="M88">
        <f t="shared" si="30"/>
        <v>9</v>
      </c>
      <c r="N88" s="12" t="str">
        <f t="shared" si="24"/>
        <v>9-2013</v>
      </c>
      <c r="Q88">
        <f>INDEX(SIARMA!D:D,MATCH(Base!M88,SIARMA!A:A,0),1)</f>
        <v>1.9763333333333346</v>
      </c>
      <c r="R88" s="2">
        <f t="shared" si="25"/>
        <v>59.729209311039753</v>
      </c>
      <c r="S88" s="2">
        <f t="shared" si="26"/>
        <v>14.082766044882817</v>
      </c>
      <c r="U88" s="17">
        <f t="shared" si="27"/>
        <v>14.082766044882817</v>
      </c>
      <c r="V88" s="17">
        <f t="shared" si="28"/>
        <v>0</v>
      </c>
      <c r="W88" s="21">
        <f>Tabela2[[#This Row],[Transporte (R$/saca)]]/Tabela2[[#This Row],[Preço (R$/saca) - Paranaguá]]</f>
        <v>0.15367352952267863</v>
      </c>
      <c r="X88">
        <f>INDEX(L:L,MATCH(Tabela2[[#This Row],[Chave-Colheita]],C:C,0),1)</f>
        <v>16.191556733843065</v>
      </c>
      <c r="Y88" s="1">
        <f>Tabela2[[#This Row],[Transporte (R$/saca)]]/Tabela1[[#This Row],[Transporte (R$/saca)_Colheita]]</f>
        <v>0.73317719542148529</v>
      </c>
      <c r="Z88" s="1">
        <f>Tabela2[[#This Row],[Preço (R$/saca) - Paranaguá]]/Tabela2[[#This Row],[Preço (R$/saca)_Época da Colheita]]</f>
        <v>1.2492318639024549</v>
      </c>
    </row>
    <row r="89" spans="1:26" x14ac:dyDescent="0.25">
      <c r="A89" s="7">
        <v>2014</v>
      </c>
      <c r="B89" s="2">
        <v>1</v>
      </c>
      <c r="C89" s="2" t="str">
        <f t="shared" si="29"/>
        <v>1-2014</v>
      </c>
      <c r="D89" s="13">
        <v>41640</v>
      </c>
      <c r="E89" s="2">
        <v>30.344545454545457</v>
      </c>
      <c r="F89" s="2">
        <v>72.291818181818201</v>
      </c>
      <c r="G89" s="2">
        <f t="shared" si="20"/>
        <v>2.3823661583630429</v>
      </c>
      <c r="H89" s="6">
        <f>INDEX('Taxa de Juros (Ano)'!C:C,MATCH(Base!A89,'Taxa de Juros (Ano)'!A:A,0),1)</f>
        <v>8.6666666666666663E-3</v>
      </c>
      <c r="I89" s="9" t="str">
        <f t="shared" si="21"/>
        <v>3-2014</v>
      </c>
      <c r="J89" s="2">
        <f t="shared" si="22"/>
        <v>72.269473684210524</v>
      </c>
      <c r="K89" s="1">
        <f t="shared" si="23"/>
        <v>0</v>
      </c>
      <c r="L89">
        <v>9.8826106419632893</v>
      </c>
      <c r="M89">
        <f t="shared" si="30"/>
        <v>0</v>
      </c>
      <c r="N89" s="12" t="str">
        <f t="shared" si="24"/>
        <v>0-2014</v>
      </c>
      <c r="Q89">
        <f>INDEX(SIARMA!D:D,MATCH(Base!M89,SIARMA!A:A,0),1)</f>
        <v>0</v>
      </c>
      <c r="R89" s="2">
        <f t="shared" si="25"/>
        <v>0</v>
      </c>
      <c r="S89" s="2">
        <f t="shared" si="26"/>
        <v>0</v>
      </c>
      <c r="U89" s="17">
        <f t="shared" si="27"/>
        <v>0</v>
      </c>
      <c r="V89" s="17">
        <f t="shared" si="28"/>
        <v>0</v>
      </c>
      <c r="W89" s="21">
        <f>Tabela2[[#This Row],[Transporte (R$/saca)]]/Tabela2[[#This Row],[Preço (R$/saca) - Paranaguá]]</f>
        <v>0.13670441400585526</v>
      </c>
      <c r="X89">
        <f>INDEX(L:L,MATCH(Tabela2[[#This Row],[Chave-Colheita]],C:C,0),1)</f>
        <v>14.796350385263233</v>
      </c>
      <c r="Y89" s="1">
        <f>Tabela2[[#This Row],[Transporte (R$/saca)]]/Tabela1[[#This Row],[Transporte (R$/saca)_Colheita]]</f>
        <v>0.6679086656264982</v>
      </c>
      <c r="Z89" s="1">
        <f>Tabela2[[#This Row],[Preço (R$/saca) - Paranaguá]]/Tabela2[[#This Row],[Preço (R$/saca)_Época da Colheita]]</f>
        <v>1.0003091830681556</v>
      </c>
    </row>
    <row r="90" spans="1:26" x14ac:dyDescent="0.25">
      <c r="A90" s="7">
        <v>2014</v>
      </c>
      <c r="B90" s="2">
        <v>2</v>
      </c>
      <c r="C90" s="2" t="str">
        <f t="shared" si="29"/>
        <v>2-2014</v>
      </c>
      <c r="D90" s="13">
        <v>41671</v>
      </c>
      <c r="E90" s="2">
        <v>29.286500000000007</v>
      </c>
      <c r="F90" s="2">
        <v>69.712999999999994</v>
      </c>
      <c r="G90" s="2">
        <f t="shared" si="20"/>
        <v>2.3803800385843297</v>
      </c>
      <c r="H90" s="6">
        <f>INDEX('Taxa de Juros (Ano)'!C:C,MATCH(Base!A90,'Taxa de Juros (Ano)'!A:A,0),1)</f>
        <v>8.6666666666666663E-3</v>
      </c>
      <c r="I90" s="9" t="str">
        <f t="shared" si="21"/>
        <v>3-2014</v>
      </c>
      <c r="J90" s="2">
        <f t="shared" si="22"/>
        <v>72.269473684210524</v>
      </c>
      <c r="K90" s="1">
        <f t="shared" si="23"/>
        <v>0</v>
      </c>
      <c r="L90">
        <v>14.305323124338823</v>
      </c>
      <c r="M90">
        <f t="shared" si="30"/>
        <v>0</v>
      </c>
      <c r="N90" s="12" t="str">
        <f t="shared" si="24"/>
        <v>0-2014</v>
      </c>
      <c r="Q90">
        <f>INDEX(SIARMA!D:D,MATCH(Base!M90,SIARMA!A:A,0),1)</f>
        <v>0</v>
      </c>
      <c r="R90" s="2">
        <f t="shared" si="25"/>
        <v>0</v>
      </c>
      <c r="S90" s="2">
        <f t="shared" si="26"/>
        <v>0</v>
      </c>
      <c r="U90" s="17">
        <f t="shared" si="27"/>
        <v>0</v>
      </c>
      <c r="V90" s="17">
        <f t="shared" si="28"/>
        <v>0</v>
      </c>
      <c r="W90" s="21">
        <f>Tabela2[[#This Row],[Transporte (R$/saca)]]/Tabela2[[#This Row],[Preço (R$/saca) - Paranaguá]]</f>
        <v>0.20520309159466418</v>
      </c>
      <c r="X90">
        <f>INDEX(L:L,MATCH(Tabela2[[#This Row],[Chave-Colheita]],C:C,0),1)</f>
        <v>14.796350385263233</v>
      </c>
      <c r="Y90" s="1">
        <f>Tabela2[[#This Row],[Transporte (R$/saca)]]/Tabela1[[#This Row],[Transporte (R$/saca)_Colheita]]</f>
        <v>0.96681429892242488</v>
      </c>
      <c r="Z90" s="1">
        <f>Tabela2[[#This Row],[Preço (R$/saca) - Paranaguá]]/Tabela2[[#This Row],[Preço (R$/saca)_Época da Colheita]]</f>
        <v>0.96462581566068506</v>
      </c>
    </row>
    <row r="91" spans="1:26" x14ac:dyDescent="0.25">
      <c r="A91" s="7">
        <v>2014</v>
      </c>
      <c r="B91" s="2">
        <v>3</v>
      </c>
      <c r="C91" s="2" t="str">
        <f t="shared" si="29"/>
        <v>3-2014</v>
      </c>
      <c r="D91" s="13">
        <v>41699</v>
      </c>
      <c r="E91" s="2">
        <v>31.063157894736843</v>
      </c>
      <c r="F91" s="2">
        <v>72.269473684210524</v>
      </c>
      <c r="G91" s="2">
        <f t="shared" si="20"/>
        <v>2.3265333785157574</v>
      </c>
      <c r="H91" s="6">
        <f>INDEX('Taxa de Juros (Ano)'!C:C,MATCH(Base!A91,'Taxa de Juros (Ano)'!A:A,0),1)</f>
        <v>8.6666666666666663E-3</v>
      </c>
      <c r="I91" s="9" t="str">
        <f t="shared" si="21"/>
        <v>3-2014</v>
      </c>
      <c r="J91" s="2">
        <f t="shared" si="22"/>
        <v>72.269473684210524</v>
      </c>
      <c r="K91" s="1">
        <f t="shared" si="23"/>
        <v>0</v>
      </c>
      <c r="L91">
        <v>14.796350385263233</v>
      </c>
      <c r="M91">
        <f t="shared" si="30"/>
        <v>0</v>
      </c>
      <c r="N91" s="12" t="str">
        <f t="shared" si="24"/>
        <v>0-2014</v>
      </c>
      <c r="Q91">
        <f>INDEX(SIARMA!D:D,MATCH(Base!M91,SIARMA!A:A,0),1)</f>
        <v>0</v>
      </c>
      <c r="R91" s="2">
        <f t="shared" si="25"/>
        <v>57.473123298947293</v>
      </c>
      <c r="S91" s="2">
        <f t="shared" si="26"/>
        <v>0</v>
      </c>
      <c r="U91" s="17">
        <f t="shared" si="27"/>
        <v>0</v>
      </c>
      <c r="V91" s="17">
        <f t="shared" si="28"/>
        <v>0</v>
      </c>
      <c r="W91" s="21">
        <f>Tabela2[[#This Row],[Transporte (R$/saca)]]/Tabela2[[#This Row],[Preço (R$/saca) - Paranaguá]]</f>
        <v>0.20473859336401876</v>
      </c>
      <c r="X91">
        <f>INDEX(L:L,MATCH(Tabela2[[#This Row],[Chave-Colheita]],C:C,0),1)</f>
        <v>14.796350385263233</v>
      </c>
      <c r="Y91" s="1">
        <f>Tabela2[[#This Row],[Transporte (R$/saca)]]/Tabela1[[#This Row],[Transporte (R$/saca)_Colheita]]</f>
        <v>1</v>
      </c>
      <c r="Z91" s="1">
        <f>Tabela2[[#This Row],[Preço (R$/saca) - Paranaguá]]/Tabela2[[#This Row],[Preço (R$/saca)_Época da Colheita]]</f>
        <v>1</v>
      </c>
    </row>
    <row r="92" spans="1:26" x14ac:dyDescent="0.25">
      <c r="A92" s="7">
        <v>2014</v>
      </c>
      <c r="B92" s="2">
        <v>4</v>
      </c>
      <c r="C92" s="2" t="str">
        <f t="shared" si="29"/>
        <v>4-2014</v>
      </c>
      <c r="D92" s="13">
        <v>41730</v>
      </c>
      <c r="E92" s="2">
        <v>31.846999999999998</v>
      </c>
      <c r="F92" s="2">
        <v>71.111000000000004</v>
      </c>
      <c r="G92" s="2">
        <f t="shared" si="20"/>
        <v>2.2328947781580686</v>
      </c>
      <c r="H92" s="6">
        <f>INDEX('Taxa de Juros (Ano)'!C:C,MATCH(Base!A92,'Taxa de Juros (Ano)'!A:A,0),1)</f>
        <v>8.6666666666666663E-3</v>
      </c>
      <c r="I92" s="9" t="str">
        <f t="shared" si="21"/>
        <v>3-2014</v>
      </c>
      <c r="J92" s="2">
        <f t="shared" si="22"/>
        <v>72.269473684210524</v>
      </c>
      <c r="K92" s="1">
        <f t="shared" si="23"/>
        <v>0.62633543859649121</v>
      </c>
      <c r="L92">
        <v>12.766070211151003</v>
      </c>
      <c r="M92">
        <f t="shared" si="30"/>
        <v>1</v>
      </c>
      <c r="N92" s="12" t="str">
        <f t="shared" si="24"/>
        <v>1-2014</v>
      </c>
      <c r="Q92">
        <f>INDEX(SIARMA!D:D,MATCH(Base!M92,SIARMA!A:A,0),1)</f>
        <v>0.92800000000000016</v>
      </c>
      <c r="R92" s="2">
        <f t="shared" si="25"/>
        <v>56.790594350252512</v>
      </c>
      <c r="S92" s="2">
        <f t="shared" si="26"/>
        <v>-0.68252894869478098</v>
      </c>
      <c r="U92" s="17">
        <f t="shared" si="27"/>
        <v>0</v>
      </c>
      <c r="V92" s="17">
        <f t="shared" si="28"/>
        <v>-0.68252894869478098</v>
      </c>
      <c r="W92" s="21">
        <f>Tabela2[[#This Row],[Transporte (R$/saca)]]/Tabela2[[#This Row],[Preço (R$/saca) - Paranaguá]]</f>
        <v>0.17952314284922169</v>
      </c>
      <c r="X92">
        <f>INDEX(L:L,MATCH(Tabela2[[#This Row],[Chave-Colheita]],C:C,0),1)</f>
        <v>14.796350385263233</v>
      </c>
      <c r="Y92" s="1">
        <f>Tabela2[[#This Row],[Transporte (R$/saca)]]/Tabela1[[#This Row],[Transporte (R$/saca)_Colheita]]</f>
        <v>0.86278507055805231</v>
      </c>
      <c r="Z92" s="1">
        <f>Tabela2[[#This Row],[Preço (R$/saca) - Paranaguá]]/Tabela2[[#This Row],[Preço (R$/saca)_Época da Colheita]]</f>
        <v>0.98397008273129816</v>
      </c>
    </row>
    <row r="93" spans="1:26" x14ac:dyDescent="0.25">
      <c r="A93" s="7">
        <v>2014</v>
      </c>
      <c r="B93" s="2">
        <v>5</v>
      </c>
      <c r="C93" s="2" t="str">
        <f t="shared" si="29"/>
        <v>5-2014</v>
      </c>
      <c r="D93" s="13">
        <v>41760</v>
      </c>
      <c r="E93" s="2">
        <v>31.840476190476195</v>
      </c>
      <c r="F93" s="2">
        <v>70.742857142857147</v>
      </c>
      <c r="G93" s="2">
        <f t="shared" si="20"/>
        <v>2.2217901742316606</v>
      </c>
      <c r="H93" s="6">
        <f>INDEX('Taxa de Juros (Ano)'!C:C,MATCH(Base!A93,'Taxa de Juros (Ano)'!A:A,0),1)</f>
        <v>8.6666666666666663E-3</v>
      </c>
      <c r="I93" s="9" t="str">
        <f t="shared" si="21"/>
        <v>3-2014</v>
      </c>
      <c r="J93" s="2">
        <f t="shared" si="22"/>
        <v>72.269473684210524</v>
      </c>
      <c r="K93" s="1">
        <f t="shared" si="23"/>
        <v>1.2526708771929824</v>
      </c>
      <c r="L93">
        <v>11.831226884882955</v>
      </c>
      <c r="M93">
        <f t="shared" si="30"/>
        <v>2</v>
      </c>
      <c r="N93" s="12" t="str">
        <f t="shared" si="24"/>
        <v>2-2014</v>
      </c>
      <c r="Q93">
        <f>INDEX(SIARMA!D:D,MATCH(Base!M93,SIARMA!A:A,0),1)</f>
        <v>1.0149999999999999</v>
      </c>
      <c r="R93" s="2">
        <f t="shared" si="25"/>
        <v>56.643959380781212</v>
      </c>
      <c r="S93" s="2">
        <f t="shared" si="26"/>
        <v>-0.82916391816608126</v>
      </c>
      <c r="U93" s="17">
        <f t="shared" si="27"/>
        <v>0</v>
      </c>
      <c r="V93" s="17">
        <f t="shared" si="28"/>
        <v>-0.82916391816608126</v>
      </c>
      <c r="W93" s="21">
        <f>Tabela2[[#This Row],[Transporte (R$/saca)]]/Tabela2[[#This Row],[Preço (R$/saca) - Paranaguá]]</f>
        <v>0.16724270636950864</v>
      </c>
      <c r="X93">
        <f>INDEX(L:L,MATCH(Tabela2[[#This Row],[Chave-Colheita]],C:C,0),1)</f>
        <v>14.796350385263233</v>
      </c>
      <c r="Y93" s="1">
        <f>Tabela2[[#This Row],[Transporte (R$/saca)]]/Tabela1[[#This Row],[Transporte (R$/saca)_Colheita]]</f>
        <v>0.79960440087080786</v>
      </c>
      <c r="Z93" s="1">
        <f>Tabela2[[#This Row],[Preço (R$/saca) - Paranaguá]]/Tabela2[[#This Row],[Preço (R$/saca)_Época da Colheita]]</f>
        <v>0.9788760528681294</v>
      </c>
    </row>
    <row r="94" spans="1:26" x14ac:dyDescent="0.25">
      <c r="A94" s="7">
        <v>2014</v>
      </c>
      <c r="B94" s="2">
        <v>6</v>
      </c>
      <c r="C94" s="2" t="str">
        <f t="shared" si="29"/>
        <v>6-2014</v>
      </c>
      <c r="D94" s="13">
        <v>41791</v>
      </c>
      <c r="E94" s="2">
        <v>31.694499999999998</v>
      </c>
      <c r="F94" s="2">
        <v>70.85799999999999</v>
      </c>
      <c r="G94" s="2">
        <f t="shared" si="20"/>
        <v>2.2356560286485037</v>
      </c>
      <c r="H94" s="6">
        <f>INDEX('Taxa de Juros (Ano)'!C:C,MATCH(Base!A94,'Taxa de Juros (Ano)'!A:A,0),1)</f>
        <v>8.6666666666666663E-3</v>
      </c>
      <c r="I94" s="9" t="str">
        <f t="shared" si="21"/>
        <v>3-2014</v>
      </c>
      <c r="J94" s="2">
        <f t="shared" si="22"/>
        <v>72.269473684210524</v>
      </c>
      <c r="K94" s="1">
        <f t="shared" si="23"/>
        <v>1.8790063157894736</v>
      </c>
      <c r="L94">
        <v>11.182750346600915</v>
      </c>
      <c r="M94">
        <f t="shared" si="30"/>
        <v>3</v>
      </c>
      <c r="N94" s="12" t="str">
        <f t="shared" si="24"/>
        <v>3-2014</v>
      </c>
      <c r="Q94">
        <f>INDEX(SIARMA!D:D,MATCH(Base!M94,SIARMA!A:A,0),1)</f>
        <v>1.1523333333333334</v>
      </c>
      <c r="R94" s="2">
        <f t="shared" si="25"/>
        <v>56.643910004276272</v>
      </c>
      <c r="S94" s="2">
        <f t="shared" si="26"/>
        <v>-0.82921329467102112</v>
      </c>
      <c r="U94" s="17">
        <f t="shared" si="27"/>
        <v>0</v>
      </c>
      <c r="V94" s="17">
        <f t="shared" si="28"/>
        <v>-0.82921329467102112</v>
      </c>
      <c r="W94" s="21">
        <f>Tabela2[[#This Row],[Transporte (R$/saca)]]/Tabela2[[#This Row],[Preço (R$/saca) - Paranaguá]]</f>
        <v>0.15781916433713788</v>
      </c>
      <c r="X94">
        <f>INDEX(L:L,MATCH(Tabela2[[#This Row],[Chave-Colheita]],C:C,0),1)</f>
        <v>14.796350385263233</v>
      </c>
      <c r="Y94" s="1">
        <f>Tabela2[[#This Row],[Transporte (R$/saca)]]/Tabela1[[#This Row],[Transporte (R$/saca)_Colheita]]</f>
        <v>0.75577761106134889</v>
      </c>
      <c r="Z94" s="1">
        <f>Tabela2[[#This Row],[Preço (R$/saca) - Paranaguá]]/Tabela2[[#This Row],[Preço (R$/saca)_Época da Colheita]]</f>
        <v>0.98046929620135159</v>
      </c>
    </row>
    <row r="95" spans="1:26" x14ac:dyDescent="0.25">
      <c r="A95" s="7">
        <v>2014</v>
      </c>
      <c r="B95" s="2">
        <v>7</v>
      </c>
      <c r="C95" s="2" t="str">
        <f t="shared" si="29"/>
        <v>7-2014</v>
      </c>
      <c r="D95" s="13">
        <v>41821</v>
      </c>
      <c r="E95" s="2">
        <v>30.253913043478263</v>
      </c>
      <c r="F95" s="2">
        <v>67.297826086956505</v>
      </c>
      <c r="G95" s="2">
        <f t="shared" si="20"/>
        <v>2.2244337778799719</v>
      </c>
      <c r="H95" s="6">
        <f>INDEX('Taxa de Juros (Ano)'!C:C,MATCH(Base!A95,'Taxa de Juros (Ano)'!A:A,0),1)</f>
        <v>8.6666666666666663E-3</v>
      </c>
      <c r="I95" s="9" t="str">
        <f t="shared" si="21"/>
        <v>3-2014</v>
      </c>
      <c r="J95" s="2">
        <f t="shared" si="22"/>
        <v>72.269473684210524</v>
      </c>
      <c r="K95" s="1">
        <f t="shared" si="23"/>
        <v>2.5053417543859648</v>
      </c>
      <c r="L95">
        <v>12.085776410243641</v>
      </c>
      <c r="M95">
        <f t="shared" si="30"/>
        <v>4</v>
      </c>
      <c r="N95" s="12" t="str">
        <f t="shared" si="24"/>
        <v>4-2014</v>
      </c>
      <c r="Q95">
        <f>INDEX(SIARMA!D:D,MATCH(Base!M95,SIARMA!A:A,0),1)</f>
        <v>1.289666666666667</v>
      </c>
      <c r="R95" s="2">
        <f t="shared" si="25"/>
        <v>51.417041255660237</v>
      </c>
      <c r="S95" s="2">
        <f t="shared" si="26"/>
        <v>-6.0560820432870557</v>
      </c>
      <c r="U95" s="17">
        <f t="shared" si="27"/>
        <v>0</v>
      </c>
      <c r="V95" s="17">
        <f t="shared" si="28"/>
        <v>-6.0560820432870557</v>
      </c>
      <c r="W95" s="21">
        <f>Tabela2[[#This Row],[Transporte (R$/saca)]]/Tabela2[[#This Row],[Preço (R$/saca) - Paranaguá]]</f>
        <v>0.17958643113712816</v>
      </c>
      <c r="X95">
        <f>INDEX(L:L,MATCH(Tabela2[[#This Row],[Chave-Colheita]],C:C,0),1)</f>
        <v>14.796350385263233</v>
      </c>
      <c r="Y95" s="1">
        <f>Tabela2[[#This Row],[Transporte (R$/saca)]]/Tabela1[[#This Row],[Transporte (R$/saca)_Colheita]]</f>
        <v>0.81680793544067121</v>
      </c>
      <c r="Z95" s="1">
        <f>Tabela2[[#This Row],[Preço (R$/saca) - Paranaguá]]/Tabela2[[#This Row],[Preço (R$/saca)_Época da Colheita]]</f>
        <v>0.93120681051341003</v>
      </c>
    </row>
    <row r="96" spans="1:26" x14ac:dyDescent="0.25">
      <c r="A96" s="7">
        <v>2014</v>
      </c>
      <c r="B96" s="2">
        <v>8</v>
      </c>
      <c r="C96" s="2" t="str">
        <f t="shared" si="29"/>
        <v>8-2014</v>
      </c>
      <c r="D96" s="13">
        <v>41852</v>
      </c>
      <c r="E96" s="2">
        <v>29.586190476190474</v>
      </c>
      <c r="F96" s="2">
        <v>67.105714285714299</v>
      </c>
      <c r="G96" s="2">
        <f t="shared" si="20"/>
        <v>2.2681431169625474</v>
      </c>
      <c r="H96" s="6">
        <f>INDEX('Taxa de Juros (Ano)'!C:C,MATCH(Base!A96,'Taxa de Juros (Ano)'!A:A,0),1)</f>
        <v>8.6666666666666663E-3</v>
      </c>
      <c r="I96" s="9" t="str">
        <f t="shared" si="21"/>
        <v>3-2014</v>
      </c>
      <c r="J96" s="2">
        <f t="shared" si="22"/>
        <v>72.269473684210524</v>
      </c>
      <c r="K96" s="1">
        <f t="shared" si="23"/>
        <v>3.1316771929824561</v>
      </c>
      <c r="L96">
        <v>12.202368911748863</v>
      </c>
      <c r="M96">
        <f t="shared" si="30"/>
        <v>5</v>
      </c>
      <c r="N96" s="12" t="str">
        <f t="shared" si="24"/>
        <v>5-2014</v>
      </c>
      <c r="Q96">
        <f>INDEX(SIARMA!D:D,MATCH(Base!M96,SIARMA!A:A,0),1)</f>
        <v>1.4270000000000005</v>
      </c>
      <c r="R96" s="2">
        <f t="shared" si="25"/>
        <v>50.344668180982971</v>
      </c>
      <c r="S96" s="2">
        <f t="shared" si="26"/>
        <v>-7.1284551179643216</v>
      </c>
      <c r="U96" s="17">
        <f t="shared" si="27"/>
        <v>0</v>
      </c>
      <c r="V96" s="17">
        <f t="shared" si="28"/>
        <v>-7.1284551179643216</v>
      </c>
      <c r="W96" s="21">
        <f>Tabela2[[#This Row],[Transporte (R$/saca)]]/Tabela2[[#This Row],[Preço (R$/saca) - Paranaguá]]</f>
        <v>0.1818380005582706</v>
      </c>
      <c r="X96">
        <f>INDEX(L:L,MATCH(Tabela2[[#This Row],[Chave-Colheita]],C:C,0),1)</f>
        <v>14.796350385263233</v>
      </c>
      <c r="Y96" s="1">
        <f>Tabela2[[#This Row],[Transporte (R$/saca)]]/Tabela1[[#This Row],[Transporte (R$/saca)_Colheita]]</f>
        <v>0.8246877502915918</v>
      </c>
      <c r="Z96" s="1">
        <f>Tabela2[[#This Row],[Preço (R$/saca) - Paranaguá]]/Tabela2[[#This Row],[Preço (R$/saca)_Época da Colheita]]</f>
        <v>0.92854854013383514</v>
      </c>
    </row>
    <row r="97" spans="1:26" x14ac:dyDescent="0.25">
      <c r="A97" s="7">
        <v>2014</v>
      </c>
      <c r="B97" s="2">
        <v>9</v>
      </c>
      <c r="C97" s="2" t="str">
        <f t="shared" si="29"/>
        <v>9-2014</v>
      </c>
      <c r="D97" s="13">
        <v>41883</v>
      </c>
      <c r="E97" s="2">
        <v>27.04363636363637</v>
      </c>
      <c r="F97" s="2">
        <v>63.063181818181825</v>
      </c>
      <c r="G97" s="2">
        <f t="shared" si="20"/>
        <v>2.3319046658598892</v>
      </c>
      <c r="H97" s="6">
        <f>INDEX('Taxa de Juros (Ano)'!C:C,MATCH(Base!A97,'Taxa de Juros (Ano)'!A:A,0),1)</f>
        <v>8.6666666666666663E-3</v>
      </c>
      <c r="I97" s="9" t="str">
        <f t="shared" si="21"/>
        <v>3-2014</v>
      </c>
      <c r="J97" s="2">
        <f t="shared" si="22"/>
        <v>72.269473684210524</v>
      </c>
      <c r="K97" s="1">
        <f t="shared" si="23"/>
        <v>3.7580126315789473</v>
      </c>
      <c r="L97">
        <v>12.349301069770434</v>
      </c>
      <c r="M97">
        <f t="shared" si="30"/>
        <v>6</v>
      </c>
      <c r="N97" s="12" t="str">
        <f t="shared" si="24"/>
        <v>6-2014</v>
      </c>
      <c r="Q97">
        <f>INDEX(SIARMA!D:D,MATCH(Base!M97,SIARMA!A:A,0),1)</f>
        <v>1.5643333333333338</v>
      </c>
      <c r="R97" s="2">
        <f t="shared" si="25"/>
        <v>45.391534783499111</v>
      </c>
      <c r="S97" s="2">
        <f t="shared" si="26"/>
        <v>-12.081588515448182</v>
      </c>
      <c r="U97" s="17">
        <f t="shared" si="27"/>
        <v>0</v>
      </c>
      <c r="V97" s="17">
        <f t="shared" si="28"/>
        <v>-12.081588515448182</v>
      </c>
      <c r="W97" s="21">
        <f>Tabela2[[#This Row],[Transporte (R$/saca)]]/Tabela2[[#This Row],[Preço (R$/saca) - Paranaguá]]</f>
        <v>0.19582426248924203</v>
      </c>
      <c r="X97">
        <f>INDEX(L:L,MATCH(Tabela2[[#This Row],[Chave-Colheita]],C:C,0),1)</f>
        <v>14.796350385263233</v>
      </c>
      <c r="Y97" s="1">
        <f>Tabela2[[#This Row],[Transporte (R$/saca)]]/Tabela1[[#This Row],[Transporte (R$/saca)_Colheita]]</f>
        <v>0.8346180475740832</v>
      </c>
      <c r="Z97" s="1">
        <f>Tabela2[[#This Row],[Preço (R$/saca) - Paranaguá]]/Tabela2[[#This Row],[Preço (R$/saca)_Época da Colheita]]</f>
        <v>0.87261161045316848</v>
      </c>
    </row>
    <row r="98" spans="1:26" x14ac:dyDescent="0.25">
      <c r="A98" s="7">
        <v>2014</v>
      </c>
      <c r="B98" s="2">
        <v>10</v>
      </c>
      <c r="C98" s="2" t="str">
        <f t="shared" si="29"/>
        <v>10-2014</v>
      </c>
      <c r="D98" s="13">
        <v>41913</v>
      </c>
      <c r="E98" s="2">
        <v>24.978260869565222</v>
      </c>
      <c r="F98" s="2">
        <v>61.170000000000016</v>
      </c>
      <c r="G98" s="2">
        <f t="shared" si="20"/>
        <v>2.4489295039164491</v>
      </c>
      <c r="H98" s="6">
        <f>INDEX('Taxa de Juros (Ano)'!C:C,MATCH(Base!A98,'Taxa de Juros (Ano)'!A:A,0),1)</f>
        <v>8.6666666666666663E-3</v>
      </c>
      <c r="I98" s="9" t="str">
        <f t="shared" si="21"/>
        <v>3-2014</v>
      </c>
      <c r="J98" s="2">
        <f t="shared" si="22"/>
        <v>72.269473684210524</v>
      </c>
      <c r="K98" s="1">
        <f t="shared" si="23"/>
        <v>4.384348070175438</v>
      </c>
      <c r="L98">
        <v>11.57138655817457</v>
      </c>
      <c r="M98">
        <f t="shared" si="30"/>
        <v>7</v>
      </c>
      <c r="N98" s="12" t="str">
        <f t="shared" si="24"/>
        <v>7-2014</v>
      </c>
      <c r="Q98">
        <f>INDEX(SIARMA!D:D,MATCH(Base!M98,SIARMA!A:A,0),1)</f>
        <v>1.7016666666666673</v>
      </c>
      <c r="R98" s="2">
        <f t="shared" si="25"/>
        <v>43.512598704983347</v>
      </c>
      <c r="S98" s="2">
        <f t="shared" si="26"/>
        <v>-13.960524593963946</v>
      </c>
      <c r="U98" s="17">
        <f t="shared" si="27"/>
        <v>0</v>
      </c>
      <c r="V98" s="17">
        <f t="shared" si="28"/>
        <v>-13.960524593963946</v>
      </c>
      <c r="W98" s="21">
        <f>Tabela2[[#This Row],[Transporte (R$/saca)]]/Tabela2[[#This Row],[Preço (R$/saca) - Paranaguá]]</f>
        <v>0.18916767301249907</v>
      </c>
      <c r="X98">
        <f>INDEX(L:L,MATCH(Tabela2[[#This Row],[Chave-Colheita]],C:C,0),1)</f>
        <v>14.796350385263233</v>
      </c>
      <c r="Y98" s="1">
        <f>Tabela2[[#This Row],[Transporte (R$/saca)]]/Tabela1[[#This Row],[Transporte (R$/saca)_Colheita]]</f>
        <v>0.78204329154703989</v>
      </c>
      <c r="Z98" s="1">
        <f>Tabela2[[#This Row],[Preço (R$/saca) - Paranaguá]]/Tabela2[[#This Row],[Preço (R$/saca)_Época da Colheita]]</f>
        <v>0.84641546259613165</v>
      </c>
    </row>
    <row r="99" spans="1:26" x14ac:dyDescent="0.25">
      <c r="A99" s="7">
        <v>2014</v>
      </c>
      <c r="B99" s="2">
        <v>11</v>
      </c>
      <c r="C99" s="2" t="str">
        <f t="shared" si="29"/>
        <v>11-2014</v>
      </c>
      <c r="D99" s="13">
        <v>41944</v>
      </c>
      <c r="E99" s="2">
        <v>23.970499999999994</v>
      </c>
      <c r="F99" s="2">
        <v>61.17</v>
      </c>
      <c r="G99" s="2">
        <f t="shared" si="20"/>
        <v>2.5518866940614511</v>
      </c>
      <c r="H99" s="6">
        <f>INDEX('Taxa de Juros (Ano)'!C:C,MATCH(Base!A99,'Taxa de Juros (Ano)'!A:A,0),1)</f>
        <v>8.6666666666666663E-3</v>
      </c>
      <c r="I99" s="9" t="str">
        <f t="shared" si="21"/>
        <v>3-2014</v>
      </c>
      <c r="J99" s="2">
        <f t="shared" si="22"/>
        <v>72.269473684210524</v>
      </c>
      <c r="K99" s="1">
        <f t="shared" si="23"/>
        <v>5.0106835087719297</v>
      </c>
      <c r="L99">
        <v>11.076474354228424</v>
      </c>
      <c r="M99">
        <f t="shared" si="30"/>
        <v>8</v>
      </c>
      <c r="N99" s="12" t="str">
        <f t="shared" si="24"/>
        <v>8-2014</v>
      </c>
      <c r="Q99">
        <f>INDEX(SIARMA!D:D,MATCH(Base!M99,SIARMA!A:A,0),1)</f>
        <v>1.8390000000000011</v>
      </c>
      <c r="R99" s="2">
        <f t="shared" si="25"/>
        <v>43.243842136999646</v>
      </c>
      <c r="S99" s="2">
        <f t="shared" si="26"/>
        <v>-14.229281161947647</v>
      </c>
      <c r="U99" s="17">
        <f t="shared" si="27"/>
        <v>0</v>
      </c>
      <c r="V99" s="17">
        <f t="shared" si="28"/>
        <v>-14.229281161947647</v>
      </c>
      <c r="W99" s="21">
        <f>Tabela2[[#This Row],[Transporte (R$/saca)]]/Tabela2[[#This Row],[Preço (R$/saca) - Paranaguá]]</f>
        <v>0.18107690623227765</v>
      </c>
      <c r="X99">
        <f>INDEX(L:L,MATCH(Tabela2[[#This Row],[Chave-Colheita]],C:C,0),1)</f>
        <v>14.796350385263233</v>
      </c>
      <c r="Y99" s="1">
        <f>Tabela2[[#This Row],[Transporte (R$/saca)]]/Tabela1[[#This Row],[Transporte (R$/saca)_Colheita]]</f>
        <v>0.74859502957298807</v>
      </c>
      <c r="Z99" s="1">
        <f>Tabela2[[#This Row],[Preço (R$/saca) - Paranaguá]]/Tabela2[[#This Row],[Preço (R$/saca)_Época da Colheita]]</f>
        <v>0.84641546259613154</v>
      </c>
    </row>
    <row r="100" spans="1:26" x14ac:dyDescent="0.25">
      <c r="A100" s="7">
        <v>2014</v>
      </c>
      <c r="B100" s="2">
        <v>12</v>
      </c>
      <c r="C100" s="2" t="str">
        <f t="shared" si="29"/>
        <v>12-2014</v>
      </c>
      <c r="D100" s="13">
        <v>41974</v>
      </c>
      <c r="E100" s="2">
        <v>23.163000000000004</v>
      </c>
      <c r="F100" s="2">
        <v>61.17</v>
      </c>
      <c r="G100" s="2">
        <f t="shared" si="20"/>
        <v>2.6408496308768292</v>
      </c>
      <c r="H100" s="6">
        <f>INDEX('Taxa de Juros (Ano)'!C:C,MATCH(Base!A100,'Taxa de Juros (Ano)'!A:A,0),1)</f>
        <v>8.6666666666666663E-3</v>
      </c>
      <c r="I100" s="9" t="str">
        <f t="shared" si="21"/>
        <v>3-2014</v>
      </c>
      <c r="J100" s="2">
        <f t="shared" si="22"/>
        <v>72.269473684210524</v>
      </c>
      <c r="K100" s="1">
        <f t="shared" si="23"/>
        <v>5.6370189473684214</v>
      </c>
      <c r="L100">
        <v>11.816196163353879</v>
      </c>
      <c r="M100">
        <f t="shared" si="30"/>
        <v>9</v>
      </c>
      <c r="N100" s="12" t="str">
        <f t="shared" si="24"/>
        <v>9-2014</v>
      </c>
      <c r="Q100">
        <f>INDEX(SIARMA!D:D,MATCH(Base!M100,SIARMA!A:A,0),1)</f>
        <v>1.9763333333333346</v>
      </c>
      <c r="R100" s="2">
        <f t="shared" si="25"/>
        <v>41.740451555944361</v>
      </c>
      <c r="S100" s="2">
        <f t="shared" si="26"/>
        <v>-15.732671743002932</v>
      </c>
      <c r="U100" s="17">
        <f t="shared" si="27"/>
        <v>0</v>
      </c>
      <c r="V100" s="17">
        <f t="shared" si="28"/>
        <v>-15.732671743002932</v>
      </c>
      <c r="W100" s="21">
        <f>Tabela2[[#This Row],[Transporte (R$/saca)]]/Tabela2[[#This Row],[Preço (R$/saca) - Paranaguá]]</f>
        <v>0.19316979178280005</v>
      </c>
      <c r="X100">
        <f>INDEX(L:L,MATCH(Tabela2[[#This Row],[Chave-Colheita]],C:C,0),1)</f>
        <v>14.796350385263233</v>
      </c>
      <c r="Y100" s="1">
        <f>Tabela2[[#This Row],[Transporte (R$/saca)]]/Tabela1[[#This Row],[Transporte (R$/saca)_Colheita]]</f>
        <v>0.79858856107668907</v>
      </c>
      <c r="Z100" s="1">
        <f>Tabela2[[#This Row],[Preço (R$/saca) - Paranaguá]]/Tabela2[[#This Row],[Preço (R$/saca)_Época da Colheita]]</f>
        <v>0.84641546259613154</v>
      </c>
    </row>
    <row r="101" spans="1:26" x14ac:dyDescent="0.25">
      <c r="A101" s="7">
        <v>2015</v>
      </c>
      <c r="B101" s="2">
        <v>1</v>
      </c>
      <c r="C101" s="2" t="str">
        <f t="shared" si="29"/>
        <v>1-2015</v>
      </c>
      <c r="D101" s="13">
        <v>42005</v>
      </c>
      <c r="E101" s="2">
        <v>23.203809523809522</v>
      </c>
      <c r="F101" s="2">
        <v>61.143333333333324</v>
      </c>
      <c r="G101" s="2">
        <f t="shared" ref="G101:G124" si="31">F101/E101</f>
        <v>2.6350558200623868</v>
      </c>
      <c r="H101" s="6">
        <f>INDEX('Taxa de Juros (Ano)'!C:C,MATCH(Base!A101,'Taxa de Juros (Ano)'!A:A,0),1)</f>
        <v>1.0450000000000001E-2</v>
      </c>
      <c r="I101" s="9" t="str">
        <f t="shared" ref="I101:I124" si="32">CONCATENATE($B$1,"-",A101)</f>
        <v>3-2015</v>
      </c>
      <c r="J101" s="2">
        <f t="shared" ref="J101:J112" si="33">INDEX($F$4:$F$124,MATCH(I101,$C$4:$C$124,0),1)</f>
        <v>67.900454545454537</v>
      </c>
      <c r="K101" s="1">
        <f t="shared" ref="K101:K124" si="34">J101*H101*M101</f>
        <v>0</v>
      </c>
      <c r="L101">
        <v>12.437878728413597</v>
      </c>
      <c r="M101">
        <f t="shared" si="30"/>
        <v>0</v>
      </c>
      <c r="N101" s="12" t="str">
        <f t="shared" ref="N101:N124" si="35">CONCATENATE(M101,"-",A101)</f>
        <v>0-2015</v>
      </c>
      <c r="Q101">
        <f>INDEX(SIARMA!D:D,MATCH(Base!M101,SIARMA!A:A,0),1)</f>
        <v>0</v>
      </c>
      <c r="R101" s="2">
        <f t="shared" ref="R101:R136" si="36">IF(B101&lt;$B$1,0,F101-Q101-L101-K101)</f>
        <v>0</v>
      </c>
      <c r="S101" s="2">
        <f t="shared" si="26"/>
        <v>0</v>
      </c>
      <c r="U101" s="17">
        <f t="shared" ref="U101:U136" si="37">IF(S101&gt;0,S101,0)</f>
        <v>0</v>
      </c>
      <c r="V101" s="17">
        <f t="shared" ref="V101:V136" si="38">IF(S101&lt;0,S101,0)</f>
        <v>0</v>
      </c>
      <c r="W101" s="21">
        <f>Tabela2[[#This Row],[Transporte (R$/saca)]]/Tabela2[[#This Row],[Preço (R$/saca) - Paranaguá]]</f>
        <v>0.20342166595017608</v>
      </c>
      <c r="X101">
        <f>INDEX(L:L,MATCH(Tabela2[[#This Row],[Chave-Colheita]],C:C,0),1)</f>
        <v>14.495382094139936</v>
      </c>
      <c r="Y101" s="1">
        <f>Tabela2[[#This Row],[Transporte (R$/saca)]]/Tabela1[[#This Row],[Transporte (R$/saca)_Colheita]]</f>
        <v>0.85805801100212964</v>
      </c>
      <c r="Z101" s="1">
        <f>Tabela2[[#This Row],[Preço (R$/saca) - Paranaguá]]/Tabela2[[#This Row],[Preço (R$/saca)_Época da Colheita]]</f>
        <v>0.90048488986774311</v>
      </c>
    </row>
    <row r="102" spans="1:26" x14ac:dyDescent="0.25">
      <c r="A102" s="7">
        <v>2015</v>
      </c>
      <c r="B102" s="2">
        <v>2</v>
      </c>
      <c r="C102" s="2" t="str">
        <f t="shared" si="29"/>
        <v>2-2015</v>
      </c>
      <c r="D102" s="13">
        <v>42036</v>
      </c>
      <c r="E102" s="2">
        <v>22.617777777777782</v>
      </c>
      <c r="F102" s="2">
        <v>63.717777777777769</v>
      </c>
      <c r="G102" s="2">
        <f t="shared" si="31"/>
        <v>2.8171546472784428</v>
      </c>
      <c r="H102" s="6">
        <f>INDEX('Taxa de Juros (Ano)'!C:C,MATCH(Base!A102,'Taxa de Juros (Ano)'!A:A,0),1)</f>
        <v>1.0450000000000001E-2</v>
      </c>
      <c r="I102" s="9" t="str">
        <f t="shared" si="32"/>
        <v>3-2015</v>
      </c>
      <c r="J102" s="2">
        <f t="shared" si="33"/>
        <v>67.900454545454537</v>
      </c>
      <c r="K102" s="1">
        <f t="shared" si="34"/>
        <v>0</v>
      </c>
      <c r="L102">
        <v>13.421402063579359</v>
      </c>
      <c r="M102">
        <f t="shared" si="30"/>
        <v>0</v>
      </c>
      <c r="N102" s="12" t="str">
        <f t="shared" si="35"/>
        <v>0-2015</v>
      </c>
      <c r="Q102">
        <f>INDEX(SIARMA!D:D,MATCH(Base!M102,SIARMA!A:A,0),1)</f>
        <v>0</v>
      </c>
      <c r="R102" s="2">
        <f t="shared" si="36"/>
        <v>0</v>
      </c>
      <c r="S102" s="2">
        <f t="shared" si="26"/>
        <v>0</v>
      </c>
      <c r="U102" s="17">
        <f t="shared" si="37"/>
        <v>0</v>
      </c>
      <c r="V102" s="17">
        <f t="shared" si="38"/>
        <v>0</v>
      </c>
      <c r="W102" s="21">
        <f>Tabela2[[#This Row],[Transporte (R$/saca)]]/Tabela2[[#This Row],[Preço (R$/saca) - Paranaguá]]</f>
        <v>0.21063826347472231</v>
      </c>
      <c r="X102">
        <f>INDEX(L:L,MATCH(Tabela2[[#This Row],[Chave-Colheita]],C:C,0),1)</f>
        <v>14.495382094139936</v>
      </c>
      <c r="Y102" s="1">
        <f>Tabela2[[#This Row],[Transporte (R$/saca)]]/Tabela1[[#This Row],[Transporte (R$/saca)_Colheita]]</f>
        <v>0.92590881540164738</v>
      </c>
      <c r="Z102" s="1">
        <f>Tabela2[[#This Row],[Preço (R$/saca) - Paranaguá]]/Tabela2[[#This Row],[Preço (R$/saca)_Época da Colheita]]</f>
        <v>0.93839987087454968</v>
      </c>
    </row>
    <row r="103" spans="1:26" x14ac:dyDescent="0.25">
      <c r="A103" s="7">
        <v>2015</v>
      </c>
      <c r="B103" s="2">
        <v>3</v>
      </c>
      <c r="C103" s="2" t="str">
        <f t="shared" si="29"/>
        <v>3-2015</v>
      </c>
      <c r="D103" s="13">
        <v>42064</v>
      </c>
      <c r="E103" s="2">
        <v>21.61</v>
      </c>
      <c r="F103" s="2">
        <v>67.900454545454537</v>
      </c>
      <c r="G103" s="2">
        <f t="shared" si="31"/>
        <v>3.1420848933574521</v>
      </c>
      <c r="H103" s="6">
        <f>INDEX('Taxa de Juros (Ano)'!C:C,MATCH(Base!A103,'Taxa de Juros (Ano)'!A:A,0),1)</f>
        <v>1.0450000000000001E-2</v>
      </c>
      <c r="I103" s="9" t="str">
        <f t="shared" si="32"/>
        <v>3-2015</v>
      </c>
      <c r="J103" s="2">
        <f t="shared" si="33"/>
        <v>67.900454545454537</v>
      </c>
      <c r="K103" s="1">
        <f t="shared" si="34"/>
        <v>0</v>
      </c>
      <c r="L103">
        <v>14.495382094139936</v>
      </c>
      <c r="M103">
        <f t="shared" si="30"/>
        <v>0</v>
      </c>
      <c r="N103" s="12" t="str">
        <f t="shared" si="35"/>
        <v>0-2015</v>
      </c>
      <c r="Q103">
        <f>INDEX(SIARMA!D:D,MATCH(Base!M103,SIARMA!A:A,0),1)</f>
        <v>0</v>
      </c>
      <c r="R103" s="2">
        <f t="shared" si="36"/>
        <v>53.405072451314602</v>
      </c>
      <c r="S103" s="2">
        <f t="shared" si="26"/>
        <v>0</v>
      </c>
      <c r="U103" s="17">
        <f t="shared" si="37"/>
        <v>0</v>
      </c>
      <c r="V103" s="17">
        <f t="shared" si="38"/>
        <v>0</v>
      </c>
      <c r="W103" s="21">
        <f>Tabela2[[#This Row],[Transporte (R$/saca)]]/Tabela2[[#This Row],[Preço (R$/saca) - Paranaguá]]</f>
        <v>0.21347989775880374</v>
      </c>
      <c r="X103">
        <f>INDEX(L:L,MATCH(Tabela2[[#This Row],[Chave-Colheita]],C:C,0),1)</f>
        <v>14.495382094139936</v>
      </c>
      <c r="Y103" s="1">
        <f>Tabela2[[#This Row],[Transporte (R$/saca)]]/Tabela1[[#This Row],[Transporte (R$/saca)_Colheita]]</f>
        <v>1</v>
      </c>
      <c r="Z103" s="1">
        <f>Tabela2[[#This Row],[Preço (R$/saca) - Paranaguá]]/Tabela2[[#This Row],[Preço (R$/saca)_Época da Colheita]]</f>
        <v>1</v>
      </c>
    </row>
    <row r="104" spans="1:26" x14ac:dyDescent="0.25">
      <c r="A104" s="7">
        <v>2015</v>
      </c>
      <c r="B104" s="2">
        <v>4</v>
      </c>
      <c r="C104" s="2" t="str">
        <f t="shared" si="29"/>
        <v>4-2015</v>
      </c>
      <c r="D104" s="13">
        <v>42095</v>
      </c>
      <c r="E104" s="2">
        <v>22.860999999999997</v>
      </c>
      <c r="F104" s="2">
        <v>69.525999999999982</v>
      </c>
      <c r="G104" s="2">
        <f t="shared" si="31"/>
        <v>3.0412492891824501</v>
      </c>
      <c r="H104" s="6">
        <f>INDEX('Taxa de Juros (Ano)'!C:C,MATCH(Base!A104,'Taxa de Juros (Ano)'!A:A,0),1)</f>
        <v>1.0450000000000001E-2</v>
      </c>
      <c r="I104" s="9" t="str">
        <f t="shared" si="32"/>
        <v>3-2015</v>
      </c>
      <c r="J104" s="2">
        <f t="shared" si="33"/>
        <v>67.900454545454537</v>
      </c>
      <c r="K104" s="1">
        <f t="shared" si="34"/>
        <v>0.70955974999999993</v>
      </c>
      <c r="L104">
        <v>15.70501554193129</v>
      </c>
      <c r="M104">
        <f t="shared" si="30"/>
        <v>1</v>
      </c>
      <c r="N104" s="12" t="str">
        <f t="shared" si="35"/>
        <v>1-2015</v>
      </c>
      <c r="Q104">
        <f>INDEX(SIARMA!D:D,MATCH(Base!M104,SIARMA!A:A,0),1)</f>
        <v>0.92800000000000016</v>
      </c>
      <c r="R104" s="2">
        <f t="shared" si="36"/>
        <v>52.183424708068699</v>
      </c>
      <c r="S104" s="2">
        <f t="shared" si="26"/>
        <v>-1.221647743245903</v>
      </c>
      <c r="U104" s="17">
        <f t="shared" si="37"/>
        <v>0</v>
      </c>
      <c r="V104" s="17">
        <f t="shared" si="38"/>
        <v>-1.221647743245903</v>
      </c>
      <c r="W104" s="21">
        <f>Tabela2[[#This Row],[Transporte (R$/saca)]]/Tabela2[[#This Row],[Preço (R$/saca) - Paranaguá]]</f>
        <v>0.22588694217891572</v>
      </c>
      <c r="X104">
        <f>INDEX(L:L,MATCH(Tabela2[[#This Row],[Chave-Colheita]],C:C,0),1)</f>
        <v>14.495382094139936</v>
      </c>
      <c r="Y104" s="1">
        <f>Tabela2[[#This Row],[Transporte (R$/saca)]]/Tabela1[[#This Row],[Transporte (R$/saca)_Colheita]]</f>
        <v>1.0834495731078642</v>
      </c>
      <c r="Z104" s="1">
        <f>Tabela2[[#This Row],[Preço (R$/saca) - Paranaguá]]/Tabela2[[#This Row],[Preço (R$/saca)_Época da Colheita]]</f>
        <v>1.0239401262543428</v>
      </c>
    </row>
    <row r="105" spans="1:26" x14ac:dyDescent="0.25">
      <c r="A105" s="7">
        <v>2015</v>
      </c>
      <c r="B105" s="2">
        <v>5</v>
      </c>
      <c r="C105" s="2" t="str">
        <f t="shared" si="29"/>
        <v>5-2015</v>
      </c>
      <c r="D105" s="13">
        <v>42125</v>
      </c>
      <c r="E105" s="2">
        <v>21.756499999999999</v>
      </c>
      <c r="F105" s="2">
        <v>66.608500000000006</v>
      </c>
      <c r="G105" s="2">
        <f t="shared" si="31"/>
        <v>3.0615448256842788</v>
      </c>
      <c r="H105" s="6">
        <f>INDEX('Taxa de Juros (Ano)'!C:C,MATCH(Base!A105,'Taxa de Juros (Ano)'!A:A,0),1)</f>
        <v>1.0450000000000001E-2</v>
      </c>
      <c r="I105" s="9" t="str">
        <f t="shared" si="32"/>
        <v>3-2015</v>
      </c>
      <c r="J105" s="2">
        <f t="shared" si="33"/>
        <v>67.900454545454537</v>
      </c>
      <c r="K105" s="1">
        <f t="shared" si="34"/>
        <v>1.4191194999999999</v>
      </c>
      <c r="L105">
        <v>14.344492865225735</v>
      </c>
      <c r="M105">
        <f t="shared" si="30"/>
        <v>2</v>
      </c>
      <c r="N105" s="12" t="str">
        <f t="shared" si="35"/>
        <v>2-2015</v>
      </c>
      <c r="Q105">
        <f>INDEX(SIARMA!D:D,MATCH(Base!M105,SIARMA!A:A,0),1)</f>
        <v>1.0149999999999999</v>
      </c>
      <c r="R105" s="2">
        <f t="shared" si="36"/>
        <v>49.829887634774273</v>
      </c>
      <c r="S105" s="2">
        <f t="shared" si="26"/>
        <v>-3.5751848165403288</v>
      </c>
      <c r="U105" s="17">
        <f t="shared" si="37"/>
        <v>0</v>
      </c>
      <c r="V105" s="17">
        <f t="shared" si="38"/>
        <v>-3.5751848165403288</v>
      </c>
      <c r="W105" s="21">
        <f>Tabela2[[#This Row],[Transporte (R$/saca)]]/Tabela2[[#This Row],[Preço (R$/saca) - Paranaguá]]</f>
        <v>0.2153552904693205</v>
      </c>
      <c r="X105">
        <f>INDEX(L:L,MATCH(Tabela2[[#This Row],[Chave-Colheita]],C:C,0),1)</f>
        <v>14.495382094139936</v>
      </c>
      <c r="Y105" s="1">
        <f>Tabela2[[#This Row],[Transporte (R$/saca)]]/Tabela1[[#This Row],[Transporte (R$/saca)_Colheita]]</f>
        <v>0.98959053111299489</v>
      </c>
      <c r="Z105" s="1">
        <f>Tabela2[[#This Row],[Preço (R$/saca) - Paranaguá]]/Tabela2[[#This Row],[Preço (R$/saca)_Época da Colheita]]</f>
        <v>0.98097281448109219</v>
      </c>
    </row>
    <row r="106" spans="1:26" x14ac:dyDescent="0.25">
      <c r="A106" s="7">
        <v>2015</v>
      </c>
      <c r="B106" s="2">
        <v>6</v>
      </c>
      <c r="C106" s="2" t="str">
        <f t="shared" si="29"/>
        <v>6-2015</v>
      </c>
      <c r="D106" s="13">
        <v>42156</v>
      </c>
      <c r="E106" s="2">
        <v>21.828571428571429</v>
      </c>
      <c r="F106" s="2">
        <v>67.876666666666665</v>
      </c>
      <c r="G106" s="2">
        <f t="shared" si="31"/>
        <v>3.1095331588132633</v>
      </c>
      <c r="H106" s="6">
        <f>INDEX('Taxa de Juros (Ano)'!C:C,MATCH(Base!A106,'Taxa de Juros (Ano)'!A:A,0),1)</f>
        <v>1.0450000000000001E-2</v>
      </c>
      <c r="I106" s="9" t="str">
        <f t="shared" si="32"/>
        <v>3-2015</v>
      </c>
      <c r="J106" s="2">
        <f t="shared" si="33"/>
        <v>67.900454545454537</v>
      </c>
      <c r="K106" s="1">
        <f t="shared" si="34"/>
        <v>2.1286792499999998</v>
      </c>
      <c r="L106">
        <v>14.14463213171191</v>
      </c>
      <c r="M106">
        <f t="shared" si="30"/>
        <v>3</v>
      </c>
      <c r="N106" s="12" t="str">
        <f t="shared" si="35"/>
        <v>3-2015</v>
      </c>
      <c r="Q106">
        <f>INDEX(SIARMA!D:D,MATCH(Base!M106,SIARMA!A:A,0),1)</f>
        <v>1.1523333333333334</v>
      </c>
      <c r="R106" s="2">
        <f t="shared" si="36"/>
        <v>50.451021951621428</v>
      </c>
      <c r="S106" s="2">
        <f t="shared" si="26"/>
        <v>-2.9540504996931745</v>
      </c>
      <c r="U106" s="17">
        <f t="shared" si="37"/>
        <v>0</v>
      </c>
      <c r="V106" s="17">
        <f t="shared" si="38"/>
        <v>-2.9540504996931745</v>
      </c>
      <c r="W106" s="21">
        <f>Tabela2[[#This Row],[Transporte (R$/saca)]]/Tabela2[[#This Row],[Preço (R$/saca) - Paranaguá]]</f>
        <v>0.20838725332777946</v>
      </c>
      <c r="X106">
        <f>INDEX(L:L,MATCH(Tabela2[[#This Row],[Chave-Colheita]],C:C,0),1)</f>
        <v>14.495382094139936</v>
      </c>
      <c r="Y106" s="1">
        <f>Tabela2[[#This Row],[Transporte (R$/saca)]]/Tabela1[[#This Row],[Transporte (R$/saca)_Colheita]]</f>
        <v>0.97580264113425308</v>
      </c>
      <c r="Z106" s="1">
        <f>Tabela2[[#This Row],[Preço (R$/saca) - Paranaguá]]/Tabela2[[#This Row],[Preço (R$/saca)_Época da Colheita]]</f>
        <v>0.99964966539698275</v>
      </c>
    </row>
    <row r="107" spans="1:26" x14ac:dyDescent="0.25">
      <c r="A107" s="7">
        <v>2015</v>
      </c>
      <c r="B107" s="2">
        <v>7</v>
      </c>
      <c r="C107" s="2" t="str">
        <f t="shared" si="29"/>
        <v>7-2015</v>
      </c>
      <c r="D107" s="13">
        <v>42186</v>
      </c>
      <c r="E107" s="2">
        <v>22.610434782608696</v>
      </c>
      <c r="F107" s="2">
        <v>72.892608695652186</v>
      </c>
      <c r="G107" s="2">
        <f t="shared" si="31"/>
        <v>3.2238481655257294</v>
      </c>
      <c r="H107" s="6">
        <f>INDEX('Taxa de Juros (Ano)'!C:C,MATCH(Base!A107,'Taxa de Juros (Ano)'!A:A,0),1)</f>
        <v>1.0450000000000001E-2</v>
      </c>
      <c r="I107" s="9" t="str">
        <f t="shared" si="32"/>
        <v>3-2015</v>
      </c>
      <c r="J107" s="2">
        <f t="shared" si="33"/>
        <v>67.900454545454537</v>
      </c>
      <c r="K107" s="1">
        <f t="shared" si="34"/>
        <v>2.8382389999999997</v>
      </c>
      <c r="L107">
        <v>14.994277082088248</v>
      </c>
      <c r="M107">
        <f t="shared" si="30"/>
        <v>4</v>
      </c>
      <c r="N107" s="12" t="str">
        <f t="shared" si="35"/>
        <v>4-2015</v>
      </c>
      <c r="Q107">
        <f>INDEX(SIARMA!D:D,MATCH(Base!M107,SIARMA!A:A,0),1)</f>
        <v>1.289666666666667</v>
      </c>
      <c r="R107" s="2">
        <f t="shared" si="36"/>
        <v>53.770425946897277</v>
      </c>
      <c r="S107" s="2">
        <f t="shared" si="26"/>
        <v>0.36535349558267427</v>
      </c>
      <c r="U107" s="17">
        <f t="shared" si="37"/>
        <v>0.36535349558267427</v>
      </c>
      <c r="V107" s="17">
        <f t="shared" si="38"/>
        <v>0</v>
      </c>
      <c r="W107" s="21">
        <f>Tabela2[[#This Row],[Transporte (R$/saca)]]/Tabela2[[#This Row],[Preço (R$/saca) - Paranaguá]]</f>
        <v>0.20570366941720675</v>
      </c>
      <c r="X107">
        <f>INDEX(L:L,MATCH(Tabela2[[#This Row],[Chave-Colheita]],C:C,0),1)</f>
        <v>14.495382094139936</v>
      </c>
      <c r="Y107" s="1">
        <f>Tabela2[[#This Row],[Transporte (R$/saca)]]/Tabela1[[#This Row],[Transporte (R$/saca)_Colheita]]</f>
        <v>1.0344175120537182</v>
      </c>
      <c r="Z107" s="1">
        <f>Tabela2[[#This Row],[Preço (R$/saca) - Paranaguá]]/Tabela2[[#This Row],[Preço (R$/saca)_Época da Colheita]]</f>
        <v>1.0735216602542146</v>
      </c>
    </row>
    <row r="108" spans="1:26" x14ac:dyDescent="0.25">
      <c r="A108" s="7">
        <v>2015</v>
      </c>
      <c r="B108" s="2">
        <v>8</v>
      </c>
      <c r="C108" s="2" t="str">
        <f t="shared" si="29"/>
        <v>8-2015</v>
      </c>
      <c r="D108" s="13">
        <v>42217</v>
      </c>
      <c r="E108" s="2">
        <v>22.016190476190481</v>
      </c>
      <c r="F108" s="2">
        <v>77.329523809523806</v>
      </c>
      <c r="G108" s="2">
        <f t="shared" si="31"/>
        <v>3.5123934766621958</v>
      </c>
      <c r="H108" s="6">
        <f>INDEX('Taxa de Juros (Ano)'!C:C,MATCH(Base!A108,'Taxa de Juros (Ano)'!A:A,0),1)</f>
        <v>1.0450000000000001E-2</v>
      </c>
      <c r="I108" s="9" t="str">
        <f t="shared" si="32"/>
        <v>3-2015</v>
      </c>
      <c r="J108" s="2">
        <f t="shared" si="33"/>
        <v>67.900454545454537</v>
      </c>
      <c r="K108" s="1">
        <f t="shared" si="34"/>
        <v>3.5477987499999997</v>
      </c>
      <c r="L108">
        <v>15.088223901231485</v>
      </c>
      <c r="M108">
        <f t="shared" si="30"/>
        <v>5</v>
      </c>
      <c r="N108" s="12" t="str">
        <f t="shared" si="35"/>
        <v>5-2015</v>
      </c>
      <c r="Q108">
        <f>INDEX(SIARMA!D:D,MATCH(Base!M108,SIARMA!A:A,0),1)</f>
        <v>1.4270000000000005</v>
      </c>
      <c r="R108" s="2">
        <f t="shared" si="36"/>
        <v>57.266501158292314</v>
      </c>
      <c r="S108" s="2">
        <f t="shared" si="26"/>
        <v>3.861428706977712</v>
      </c>
      <c r="U108" s="17">
        <f t="shared" si="37"/>
        <v>3.861428706977712</v>
      </c>
      <c r="V108" s="17">
        <f t="shared" si="38"/>
        <v>0</v>
      </c>
      <c r="W108" s="21">
        <f>Tabela2[[#This Row],[Transporte (R$/saca)]]/Tabela2[[#This Row],[Preço (R$/saca) - Paranaguá]]</f>
        <v>0.19511595517381472</v>
      </c>
      <c r="X108">
        <f>INDEX(L:L,MATCH(Tabela2[[#This Row],[Chave-Colheita]],C:C,0),1)</f>
        <v>14.495382094139936</v>
      </c>
      <c r="Y108" s="1">
        <f>Tabela2[[#This Row],[Transporte (R$/saca)]]/Tabela1[[#This Row],[Transporte (R$/saca)_Colheita]]</f>
        <v>1.040898667123181</v>
      </c>
      <c r="Z108" s="1">
        <f>Tabela2[[#This Row],[Preço (R$/saca) - Paranaguá]]/Tabela2[[#This Row],[Preço (R$/saca)_Época da Colheita]]</f>
        <v>1.138866069854616</v>
      </c>
    </row>
    <row r="109" spans="1:26" x14ac:dyDescent="0.25">
      <c r="A109" s="7">
        <v>2015</v>
      </c>
      <c r="B109" s="2">
        <v>9</v>
      </c>
      <c r="C109" s="2" t="str">
        <f t="shared" si="29"/>
        <v>9-2015</v>
      </c>
      <c r="D109" s="13">
        <v>42248</v>
      </c>
      <c r="E109" s="2">
        <v>20.83285714285714</v>
      </c>
      <c r="F109" s="2">
        <v>81.345238095238102</v>
      </c>
      <c r="G109" s="2">
        <f t="shared" si="31"/>
        <v>3.9046606779583541</v>
      </c>
      <c r="H109" s="6">
        <f>INDEX('Taxa de Juros (Ano)'!C:C,MATCH(Base!A109,'Taxa de Juros (Ano)'!A:A,0),1)</f>
        <v>1.0450000000000001E-2</v>
      </c>
      <c r="I109" s="9" t="str">
        <f t="shared" si="32"/>
        <v>3-2015</v>
      </c>
      <c r="J109" s="2">
        <f t="shared" si="33"/>
        <v>67.900454545454537</v>
      </c>
      <c r="K109" s="1">
        <f t="shared" si="34"/>
        <v>4.2573584999999996</v>
      </c>
      <c r="L109">
        <v>14.814472011554262</v>
      </c>
      <c r="M109">
        <f t="shared" si="30"/>
        <v>6</v>
      </c>
      <c r="N109" s="12" t="str">
        <f t="shared" si="35"/>
        <v>6-2015</v>
      </c>
      <c r="Q109">
        <f>INDEX(SIARMA!D:D,MATCH(Base!M109,SIARMA!A:A,0),1)</f>
        <v>1.5643333333333338</v>
      </c>
      <c r="R109" s="2">
        <f t="shared" si="36"/>
        <v>60.709074250350504</v>
      </c>
      <c r="S109" s="2">
        <f t="shared" si="26"/>
        <v>7.3040017990359019</v>
      </c>
      <c r="U109" s="17">
        <f t="shared" si="37"/>
        <v>7.3040017990359019</v>
      </c>
      <c r="V109" s="17">
        <f t="shared" si="38"/>
        <v>0</v>
      </c>
      <c r="W109" s="21">
        <f>Tabela2[[#This Row],[Transporte (R$/saca)]]/Tabela2[[#This Row],[Preço (R$/saca) - Paranaguá]]</f>
        <v>0.18211849099525215</v>
      </c>
      <c r="X109">
        <f>INDEX(L:L,MATCH(Tabela2[[#This Row],[Chave-Colheita]],C:C,0),1)</f>
        <v>14.495382094139936</v>
      </c>
      <c r="Y109" s="1">
        <f>Tabela2[[#This Row],[Transporte (R$/saca)]]/Tabela1[[#This Row],[Transporte (R$/saca)_Colheita]]</f>
        <v>1.0220132118865168</v>
      </c>
      <c r="Z109" s="1">
        <f>Tabela2[[#This Row],[Preço (R$/saca) - Paranaguá]]/Tabela2[[#This Row],[Preço (R$/saca)_Época da Colheita]]</f>
        <v>1.1980072687257672</v>
      </c>
    </row>
    <row r="110" spans="1:26" x14ac:dyDescent="0.25">
      <c r="A110" s="7">
        <v>2015</v>
      </c>
      <c r="B110" s="2">
        <v>10</v>
      </c>
      <c r="C110" s="2" t="str">
        <f t="shared" si="29"/>
        <v>10-2015</v>
      </c>
      <c r="D110" s="13">
        <v>42278</v>
      </c>
      <c r="E110" s="2">
        <v>21.137619047619047</v>
      </c>
      <c r="F110" s="2">
        <v>81.977619047619058</v>
      </c>
      <c r="G110" s="2">
        <f t="shared" si="31"/>
        <v>3.8782806551172593</v>
      </c>
      <c r="H110" s="6">
        <f>INDEX('Taxa de Juros (Ano)'!C:C,MATCH(Base!A110,'Taxa de Juros (Ano)'!A:A,0),1)</f>
        <v>1.0450000000000001E-2</v>
      </c>
      <c r="I110" s="9" t="str">
        <f t="shared" si="32"/>
        <v>3-2015</v>
      </c>
      <c r="J110" s="2">
        <f t="shared" si="33"/>
        <v>67.900454545454537</v>
      </c>
      <c r="K110" s="1">
        <f t="shared" si="34"/>
        <v>4.9669182499999991</v>
      </c>
      <c r="L110">
        <v>15.350869863736046</v>
      </c>
      <c r="M110">
        <f t="shared" si="30"/>
        <v>7</v>
      </c>
      <c r="N110" s="12" t="str">
        <f t="shared" si="35"/>
        <v>7-2015</v>
      </c>
      <c r="Q110">
        <f>INDEX(SIARMA!D:D,MATCH(Base!M110,SIARMA!A:A,0),1)</f>
        <v>1.7016666666666673</v>
      </c>
      <c r="R110" s="2">
        <f t="shared" si="36"/>
        <v>59.95816426721634</v>
      </c>
      <c r="S110" s="2">
        <f t="shared" si="26"/>
        <v>6.5530918159017375</v>
      </c>
      <c r="U110" s="17">
        <f t="shared" si="37"/>
        <v>6.5530918159017375</v>
      </c>
      <c r="V110" s="17">
        <f t="shared" si="38"/>
        <v>0</v>
      </c>
      <c r="W110" s="21">
        <f>Tabela2[[#This Row],[Transporte (R$/saca)]]/Tabela2[[#This Row],[Preço (R$/saca) - Paranaguá]]</f>
        <v>0.18725683963593834</v>
      </c>
      <c r="X110">
        <f>INDEX(L:L,MATCH(Tabela2[[#This Row],[Chave-Colheita]],C:C,0),1)</f>
        <v>14.495382094139936</v>
      </c>
      <c r="Y110" s="1">
        <f>Tabela2[[#This Row],[Transporte (R$/saca)]]/Tabela1[[#This Row],[Transporte (R$/saca)_Colheita]]</f>
        <v>1.0590179523409706</v>
      </c>
      <c r="Z110" s="1">
        <f>Tabela2[[#This Row],[Preço (R$/saca) - Paranaguá]]/Tabela2[[#This Row],[Preço (R$/saca)_Época da Colheita]]</f>
        <v>1.2073206224671273</v>
      </c>
    </row>
    <row r="111" spans="1:26" x14ac:dyDescent="0.25">
      <c r="A111" s="7">
        <v>2015</v>
      </c>
      <c r="B111" s="2">
        <v>11</v>
      </c>
      <c r="C111" s="2" t="str">
        <f t="shared" si="29"/>
        <v>11-2015</v>
      </c>
      <c r="D111" s="13">
        <v>42309</v>
      </c>
      <c r="E111" s="2">
        <v>21.173500000000001</v>
      </c>
      <c r="F111" s="2">
        <v>79.972999999999999</v>
      </c>
      <c r="G111" s="2">
        <f t="shared" si="31"/>
        <v>3.7770326115191155</v>
      </c>
      <c r="H111" s="6">
        <f>INDEX('Taxa de Juros (Ano)'!C:C,MATCH(Base!A111,'Taxa de Juros (Ano)'!A:A,0),1)</f>
        <v>1.0450000000000001E-2</v>
      </c>
      <c r="I111" s="9" t="str">
        <f t="shared" si="32"/>
        <v>3-2015</v>
      </c>
      <c r="J111" s="2">
        <f t="shared" si="33"/>
        <v>67.900454545454537</v>
      </c>
      <c r="K111" s="1">
        <f t="shared" si="34"/>
        <v>5.6764779999999995</v>
      </c>
      <c r="L111">
        <v>15.949428492309552</v>
      </c>
      <c r="M111">
        <f t="shared" si="30"/>
        <v>8</v>
      </c>
      <c r="N111" s="12" t="str">
        <f t="shared" si="35"/>
        <v>8-2015</v>
      </c>
      <c r="Q111">
        <f>INDEX(SIARMA!D:D,MATCH(Base!M111,SIARMA!A:A,0),1)</f>
        <v>1.8390000000000011</v>
      </c>
      <c r="R111" s="2">
        <f t="shared" si="36"/>
        <v>56.508093507690447</v>
      </c>
      <c r="S111" s="2">
        <f t="shared" si="26"/>
        <v>3.1030210563758445</v>
      </c>
      <c r="U111" s="17">
        <f t="shared" si="37"/>
        <v>3.1030210563758445</v>
      </c>
      <c r="V111" s="17">
        <f t="shared" si="38"/>
        <v>0</v>
      </c>
      <c r="W111" s="21">
        <f>Tabela2[[#This Row],[Transporte (R$/saca)]]/Tabela2[[#This Row],[Preço (R$/saca) - Paranaguá]]</f>
        <v>0.19943516552223317</v>
      </c>
      <c r="X111">
        <f>INDEX(L:L,MATCH(Tabela2[[#This Row],[Chave-Colheita]],C:C,0),1)</f>
        <v>14.495382094139936</v>
      </c>
      <c r="Y111" s="1">
        <f>Tabela2[[#This Row],[Transporte (R$/saca)]]/Tabela1[[#This Row],[Transporte (R$/saca)_Colheita]]</f>
        <v>1.1003110086182168</v>
      </c>
      <c r="Z111" s="1">
        <f>Tabela2[[#This Row],[Preço (R$/saca) - Paranaguá]]/Tabela2[[#This Row],[Preço (R$/saca)_Época da Colheita]]</f>
        <v>1.1777977118910705</v>
      </c>
    </row>
    <row r="112" spans="1:26" x14ac:dyDescent="0.25">
      <c r="A112" s="7">
        <v>2015</v>
      </c>
      <c r="B112" s="2">
        <v>12</v>
      </c>
      <c r="C112" s="2" t="str">
        <f t="shared" si="29"/>
        <v>12-2015</v>
      </c>
      <c r="D112" s="13">
        <v>42339</v>
      </c>
      <c r="E112" s="2">
        <v>20.880499999999998</v>
      </c>
      <c r="F112" s="2">
        <v>80.757999999999996</v>
      </c>
      <c r="G112" s="2">
        <f t="shared" si="31"/>
        <v>3.8676276909077849</v>
      </c>
      <c r="H112" s="6">
        <f>INDEX('Taxa de Juros (Ano)'!C:C,MATCH(Base!A112,'Taxa de Juros (Ano)'!A:A,0),1)</f>
        <v>1.0450000000000001E-2</v>
      </c>
      <c r="I112" s="9" t="str">
        <f t="shared" si="32"/>
        <v>3-2015</v>
      </c>
      <c r="J112" s="2">
        <f t="shared" si="33"/>
        <v>67.900454545454537</v>
      </c>
      <c r="K112" s="1">
        <f t="shared" si="34"/>
        <v>6.3860377499999998</v>
      </c>
      <c r="L112">
        <v>16.166832778063476</v>
      </c>
      <c r="M112">
        <f t="shared" si="30"/>
        <v>9</v>
      </c>
      <c r="N112" s="12" t="str">
        <f t="shared" si="35"/>
        <v>9-2015</v>
      </c>
      <c r="Q112">
        <f>INDEX(SIARMA!D:D,MATCH(Base!M112,SIARMA!A:A,0),1)</f>
        <v>1.9763333333333346</v>
      </c>
      <c r="R112" s="2">
        <f t="shared" si="36"/>
        <v>56.228796138603187</v>
      </c>
      <c r="S112" s="2">
        <f t="shared" si="26"/>
        <v>2.8237236872885845</v>
      </c>
      <c r="U112" s="17">
        <f t="shared" si="37"/>
        <v>2.8237236872885845</v>
      </c>
      <c r="V112" s="17">
        <f t="shared" si="38"/>
        <v>0</v>
      </c>
      <c r="W112" s="21">
        <f>Tabela2[[#This Row],[Transporte (R$/saca)]]/Tabela2[[#This Row],[Preço (R$/saca) - Paranaguá]]</f>
        <v>0.20018862252734684</v>
      </c>
      <c r="X112">
        <f>INDEX(L:L,MATCH(Tabela2[[#This Row],[Chave-Colheita]],C:C,0),1)</f>
        <v>14.495382094139936</v>
      </c>
      <c r="Y112" s="1">
        <f>Tabela2[[#This Row],[Transporte (R$/saca)]]/Tabela1[[#This Row],[Transporte (R$/saca)_Colheita]]</f>
        <v>1.1153091841986875</v>
      </c>
      <c r="Z112" s="1">
        <f>Tabela2[[#This Row],[Preço (R$/saca) - Paranaguá]]/Tabela2[[#This Row],[Preço (R$/saca)_Época da Colheita]]</f>
        <v>1.1893587537906427</v>
      </c>
    </row>
    <row r="113" spans="1:26" x14ac:dyDescent="0.25">
      <c r="A113" s="7">
        <v>2016</v>
      </c>
      <c r="B113" s="2">
        <v>1</v>
      </c>
      <c r="C113" s="2" t="str">
        <f t="shared" si="29"/>
        <v>1-2016</v>
      </c>
      <c r="D113" s="13">
        <v>42370</v>
      </c>
      <c r="E113" s="2">
        <v>20.414999999999999</v>
      </c>
      <c r="F113" s="2">
        <v>82.746000000000009</v>
      </c>
      <c r="G113" s="2">
        <f t="shared" si="31"/>
        <v>4.0531961792799418</v>
      </c>
      <c r="H113" s="6">
        <f>INDEX('Taxa de Juros (Ano)'!C:C,MATCH(Base!A113,'Taxa de Juros (Ano)'!A:A,0),1)</f>
        <v>1.0999999999999998E-2</v>
      </c>
      <c r="I113" s="9" t="str">
        <f t="shared" si="32"/>
        <v>3-2016</v>
      </c>
      <c r="J113" s="2">
        <f>INDEX($F$4:$F$132,MATCH(I113,$C$4:$C$132,0),1)</f>
        <v>74.527727272727262</v>
      </c>
      <c r="K113" s="1">
        <f t="shared" si="34"/>
        <v>0</v>
      </c>
      <c r="L113">
        <v>15.453981391679898</v>
      </c>
      <c r="M113">
        <f t="shared" si="30"/>
        <v>0</v>
      </c>
      <c r="N113" s="12" t="str">
        <f t="shared" si="35"/>
        <v>0-2016</v>
      </c>
      <c r="Q113">
        <f>INDEX(SIARMA!D:D,MATCH(Base!M113,SIARMA!A:A,0),1)</f>
        <v>0</v>
      </c>
      <c r="R113" s="2">
        <f t="shared" si="36"/>
        <v>0</v>
      </c>
      <c r="S113" s="2">
        <f t="shared" si="26"/>
        <v>0</v>
      </c>
      <c r="U113" s="17">
        <f t="shared" si="37"/>
        <v>0</v>
      </c>
      <c r="V113" s="17">
        <f t="shared" si="38"/>
        <v>0</v>
      </c>
      <c r="W113" s="21">
        <f>Tabela2[[#This Row],[Transporte (R$/saca)]]/Tabela2[[#This Row],[Preço (R$/saca) - Paranaguá]]</f>
        <v>0.18676409000652475</v>
      </c>
      <c r="X113">
        <f>INDEX(L:L,MATCH(Tabela2[[#This Row],[Chave-Colheita]],C:C,0),1)</f>
        <v>14.88685330171498</v>
      </c>
      <c r="Y113" s="1">
        <f>Tabela2[[#This Row],[Transporte (R$/saca)]]/Tabela1[[#This Row],[Transporte (R$/saca)_Colheita]]</f>
        <v>1.0380959010256106</v>
      </c>
      <c r="Z113" s="1">
        <f>Tabela2[[#This Row],[Preço (R$/saca) - Paranaguá]]/Tabela2[[#This Row],[Preço (R$/saca)_Época da Colheita]]</f>
        <v>1.1102713450149733</v>
      </c>
    </row>
    <row r="114" spans="1:26" x14ac:dyDescent="0.25">
      <c r="A114" s="7">
        <v>2016</v>
      </c>
      <c r="B114" s="2">
        <v>2</v>
      </c>
      <c r="C114" s="2" t="str">
        <f t="shared" si="29"/>
        <v>2-2016</v>
      </c>
      <c r="D114" s="13">
        <v>42401</v>
      </c>
      <c r="E114" s="2">
        <v>19.592105263157894</v>
      </c>
      <c r="F114" s="2">
        <v>77.829473684210527</v>
      </c>
      <c r="G114" s="2">
        <f t="shared" si="31"/>
        <v>3.9724916051040968</v>
      </c>
      <c r="H114" s="6">
        <f>INDEX('Taxa de Juros (Ano)'!C:C,MATCH(Base!A114,'Taxa de Juros (Ano)'!A:A,0),1)</f>
        <v>1.0999999999999998E-2</v>
      </c>
      <c r="I114" s="9" t="str">
        <f t="shared" si="32"/>
        <v>3-2016</v>
      </c>
      <c r="J114" s="2">
        <f t="shared" ref="J114:J127" si="39">INDEX($F$4:$F$132,MATCH(I114,$C$4:$C$132,0),1)</f>
        <v>74.527727272727262</v>
      </c>
      <c r="K114" s="1">
        <f t="shared" si="34"/>
        <v>0</v>
      </c>
      <c r="L114">
        <v>14.705450705361661</v>
      </c>
      <c r="M114">
        <f t="shared" si="30"/>
        <v>0</v>
      </c>
      <c r="N114" s="12" t="str">
        <f t="shared" si="35"/>
        <v>0-2016</v>
      </c>
      <c r="Q114">
        <f>INDEX(SIARMA!D:D,MATCH(Base!M114,SIARMA!A:A,0),1)</f>
        <v>0</v>
      </c>
      <c r="R114" s="2">
        <f t="shared" si="36"/>
        <v>0</v>
      </c>
      <c r="S114" s="2">
        <f t="shared" si="26"/>
        <v>0</v>
      </c>
      <c r="U114" s="17">
        <f t="shared" si="37"/>
        <v>0</v>
      </c>
      <c r="V114" s="17">
        <f t="shared" si="38"/>
        <v>0</v>
      </c>
      <c r="W114" s="21">
        <f>Tabela2[[#This Row],[Transporte (R$/saca)]]/Tabela2[[#This Row],[Preço (R$/saca) - Paranaguá]]</f>
        <v>0.18894449633603261</v>
      </c>
      <c r="X114">
        <f>INDEX(L:L,MATCH(Tabela2[[#This Row],[Chave-Colheita]],C:C,0),1)</f>
        <v>14.88685330171498</v>
      </c>
      <c r="Y114" s="1">
        <f>Tabela2[[#This Row],[Transporte (R$/saca)]]/Tabela1[[#This Row],[Transporte (R$/saca)_Colheita]]</f>
        <v>0.98781457755532387</v>
      </c>
      <c r="Z114" s="1">
        <f>Tabela2[[#This Row],[Preço (R$/saca) - Paranaguá]]/Tabela2[[#This Row],[Preço (R$/saca)_Época da Colheita]]</f>
        <v>1.0443022554464976</v>
      </c>
    </row>
    <row r="115" spans="1:26" x14ac:dyDescent="0.25">
      <c r="A115" s="7">
        <v>2016</v>
      </c>
      <c r="B115" s="2">
        <v>3</v>
      </c>
      <c r="C115" s="2" t="str">
        <f t="shared" si="29"/>
        <v>3-2016</v>
      </c>
      <c r="D115" s="13">
        <v>42430</v>
      </c>
      <c r="E115" s="2">
        <v>20.169545454545464</v>
      </c>
      <c r="F115" s="2">
        <v>74.527727272727262</v>
      </c>
      <c r="G115" s="2">
        <f t="shared" si="31"/>
        <v>3.695062312667611</v>
      </c>
      <c r="H115" s="6">
        <f>INDEX('Taxa de Juros (Ano)'!C:C,MATCH(Base!A115,'Taxa de Juros (Ano)'!A:A,0),1)</f>
        <v>1.0999999999999998E-2</v>
      </c>
      <c r="I115" s="9" t="str">
        <f t="shared" si="32"/>
        <v>3-2016</v>
      </c>
      <c r="J115" s="2">
        <f t="shared" si="39"/>
        <v>74.527727272727262</v>
      </c>
      <c r="K115" s="1">
        <f t="shared" si="34"/>
        <v>0</v>
      </c>
      <c r="L115">
        <v>14.88685330171498</v>
      </c>
      <c r="M115">
        <f t="shared" si="30"/>
        <v>0</v>
      </c>
      <c r="N115" s="12" t="str">
        <f t="shared" si="35"/>
        <v>0-2016</v>
      </c>
      <c r="Q115">
        <f>INDEX(SIARMA!D:D,MATCH(Base!M115,SIARMA!A:A,0),1)</f>
        <v>0</v>
      </c>
      <c r="R115" s="2">
        <f t="shared" si="36"/>
        <v>59.640873971012283</v>
      </c>
      <c r="S115" s="2">
        <f t="shared" si="26"/>
        <v>0</v>
      </c>
      <c r="U115" s="17">
        <f t="shared" si="37"/>
        <v>0</v>
      </c>
      <c r="V115" s="17">
        <f t="shared" si="38"/>
        <v>0</v>
      </c>
      <c r="W115" s="21">
        <f>Tabela2[[#This Row],[Transporte (R$/saca)]]/Tabela2[[#This Row],[Preço (R$/saca) - Paranaguá]]</f>
        <v>0.19974919196499755</v>
      </c>
      <c r="X115">
        <f>INDEX(L:L,MATCH(Tabela2[[#This Row],[Chave-Colheita]],C:C,0),1)</f>
        <v>14.88685330171498</v>
      </c>
      <c r="Y115" s="1">
        <f>Tabela2[[#This Row],[Transporte (R$/saca)]]/Tabela1[[#This Row],[Transporte (R$/saca)_Colheita]]</f>
        <v>1</v>
      </c>
      <c r="Z115" s="1">
        <f>Tabela2[[#This Row],[Preço (R$/saca) - Paranaguá]]/Tabela2[[#This Row],[Preço (R$/saca)_Época da Colheita]]</f>
        <v>1</v>
      </c>
    </row>
    <row r="116" spans="1:26" x14ac:dyDescent="0.25">
      <c r="A116" s="7">
        <v>2016</v>
      </c>
      <c r="B116" s="2">
        <v>4</v>
      </c>
      <c r="C116" s="2" t="str">
        <f t="shared" si="29"/>
        <v>4-2016</v>
      </c>
      <c r="D116" s="13">
        <v>42461</v>
      </c>
      <c r="E116" s="2">
        <v>21.980499999999999</v>
      </c>
      <c r="F116" s="2">
        <v>78.042500000000018</v>
      </c>
      <c r="G116" s="2">
        <f t="shared" si="31"/>
        <v>3.5505334273560667</v>
      </c>
      <c r="H116" s="6">
        <f>INDEX('Taxa de Juros (Ano)'!C:C,MATCH(Base!A116,'Taxa de Juros (Ano)'!A:A,0),1)</f>
        <v>1.0999999999999998E-2</v>
      </c>
      <c r="I116" s="9" t="str">
        <f t="shared" si="32"/>
        <v>3-2016</v>
      </c>
      <c r="J116" s="2">
        <f>INDEX($F$4:$F$136,MATCH(I116,$C$4:$C$136,0),1)</f>
        <v>74.527727272727262</v>
      </c>
      <c r="K116" s="1">
        <f t="shared" si="34"/>
        <v>0.81980499999999967</v>
      </c>
      <c r="L116">
        <v>16.045255304177513</v>
      </c>
      <c r="M116">
        <f t="shared" si="30"/>
        <v>1</v>
      </c>
      <c r="N116" s="12" t="str">
        <f t="shared" si="35"/>
        <v>1-2016</v>
      </c>
      <c r="Q116">
        <f>INDEX(SIARMA!D:D,MATCH(Base!M116,SIARMA!A:A,0),1)</f>
        <v>0.92800000000000016</v>
      </c>
      <c r="R116" s="2">
        <f t="shared" si="36"/>
        <v>60.249439695822502</v>
      </c>
      <c r="S116" s="2">
        <f t="shared" si="26"/>
        <v>0.60856572481021942</v>
      </c>
      <c r="U116" s="17">
        <f t="shared" si="37"/>
        <v>0.60856572481021942</v>
      </c>
      <c r="V116" s="17">
        <f t="shared" si="38"/>
        <v>0</v>
      </c>
      <c r="W116" s="21">
        <f>Tabela2[[#This Row],[Transporte (R$/saca)]]/Tabela2[[#This Row],[Preço (R$/saca) - Paranaguá]]</f>
        <v>0.20559637766828984</v>
      </c>
      <c r="X116">
        <f>INDEX(L:L,MATCH(Tabela2[[#This Row],[Chave-Colheita]],C:C,0),1)</f>
        <v>14.88685330171498</v>
      </c>
      <c r="Y116" s="1">
        <f>Tabela2[[#This Row],[Transporte (R$/saca)]]/Tabela1[[#This Row],[Transporte (R$/saca)_Colheita]]</f>
        <v>1.0778137581519045</v>
      </c>
      <c r="Z116" s="1">
        <f>Tabela2[[#This Row],[Preço (R$/saca) - Paranaguá]]/Tabela2[[#This Row],[Preço (R$/saca)_Época da Colheita]]</f>
        <v>1.0471606052658868</v>
      </c>
    </row>
    <row r="117" spans="1:26" x14ac:dyDescent="0.25">
      <c r="A117" s="7">
        <v>2016</v>
      </c>
      <c r="B117" s="2">
        <v>5</v>
      </c>
      <c r="C117" s="2" t="str">
        <f t="shared" si="29"/>
        <v>5-2016</v>
      </c>
      <c r="D117" s="13">
        <v>42491</v>
      </c>
      <c r="E117" s="2">
        <v>24.432857142857145</v>
      </c>
      <c r="F117" s="2">
        <v>86.425238095238086</v>
      </c>
      <c r="G117" s="2">
        <f t="shared" si="31"/>
        <v>3.5372546726695115</v>
      </c>
      <c r="H117" s="6">
        <f>INDEX('Taxa de Juros (Ano)'!C:C,MATCH(Base!A117,'Taxa de Juros (Ano)'!A:A,0),1)</f>
        <v>1.0999999999999998E-2</v>
      </c>
      <c r="I117" s="9" t="str">
        <f t="shared" si="32"/>
        <v>3-2016</v>
      </c>
      <c r="J117" s="2">
        <f t="shared" si="39"/>
        <v>74.527727272727262</v>
      </c>
      <c r="K117" s="1">
        <f t="shared" si="34"/>
        <v>1.6396099999999993</v>
      </c>
      <c r="L117">
        <v>13.794680114646001</v>
      </c>
      <c r="M117">
        <f t="shared" si="30"/>
        <v>2</v>
      </c>
      <c r="N117" s="12" t="str">
        <f t="shared" si="35"/>
        <v>2-2016</v>
      </c>
      <c r="Q117">
        <f>INDEX(SIARMA!D:D,MATCH(Base!M117,SIARMA!A:A,0),1)</f>
        <v>1.0149999999999999</v>
      </c>
      <c r="R117" s="2">
        <f t="shared" si="36"/>
        <v>69.975947980592082</v>
      </c>
      <c r="S117" s="2">
        <f t="shared" si="26"/>
        <v>10.335074009579799</v>
      </c>
      <c r="U117" s="17">
        <f t="shared" si="37"/>
        <v>10.335074009579799</v>
      </c>
      <c r="V117" s="17">
        <f t="shared" si="38"/>
        <v>0</v>
      </c>
      <c r="W117" s="21">
        <f>Tabela2[[#This Row],[Transporte (R$/saca)]]/Tabela2[[#This Row],[Preço (R$/saca) - Paranaguá]]</f>
        <v>0.15961402500788793</v>
      </c>
      <c r="X117">
        <f>INDEX(L:L,MATCH(Tabela2[[#This Row],[Chave-Colheita]],C:C,0),1)</f>
        <v>14.88685330171498</v>
      </c>
      <c r="Y117" s="1">
        <f>Tabela2[[#This Row],[Transporte (R$/saca)]]/Tabela1[[#This Row],[Transporte (R$/saca)_Colheita]]</f>
        <v>0.92663505410218827</v>
      </c>
      <c r="Z117" s="1">
        <f>Tabela2[[#This Row],[Preço (R$/saca) - Paranaguá]]/Tabela2[[#This Row],[Preço (R$/saca)_Época da Colheita]]</f>
        <v>1.1596387178019396</v>
      </c>
    </row>
    <row r="118" spans="1:26" x14ac:dyDescent="0.25">
      <c r="A118" s="7">
        <v>2016</v>
      </c>
      <c r="B118" s="2">
        <v>6</v>
      </c>
      <c r="C118" s="2" t="str">
        <f t="shared" si="29"/>
        <v>6-2016</v>
      </c>
      <c r="D118" s="13">
        <v>42522</v>
      </c>
      <c r="E118" s="2">
        <v>27.857727272727267</v>
      </c>
      <c r="F118" s="2">
        <v>95.188181818181832</v>
      </c>
      <c r="G118" s="2">
        <f t="shared" si="31"/>
        <v>3.4169399709563213</v>
      </c>
      <c r="H118" s="6">
        <f>INDEX('Taxa de Juros (Ano)'!C:C,MATCH(Base!A118,'Taxa de Juros (Ano)'!A:A,0),1)</f>
        <v>1.0999999999999998E-2</v>
      </c>
      <c r="I118" s="9" t="str">
        <f t="shared" si="32"/>
        <v>3-2016</v>
      </c>
      <c r="J118" s="2">
        <f t="shared" si="39"/>
        <v>74.527727272727262</v>
      </c>
      <c r="K118" s="1">
        <f t="shared" si="34"/>
        <v>2.459414999999999</v>
      </c>
      <c r="L118">
        <v>15.039755162784434</v>
      </c>
      <c r="M118">
        <f t="shared" si="30"/>
        <v>3</v>
      </c>
      <c r="N118" s="12" t="str">
        <f t="shared" si="35"/>
        <v>3-2016</v>
      </c>
      <c r="Q118">
        <f>INDEX(SIARMA!D:D,MATCH(Base!M118,SIARMA!A:A,0),1)</f>
        <v>1.1523333333333334</v>
      </c>
      <c r="R118" s="2">
        <f t="shared" si="36"/>
        <v>76.536678322064077</v>
      </c>
      <c r="S118" s="2">
        <f t="shared" si="26"/>
        <v>16.895804351051794</v>
      </c>
      <c r="U118" s="17">
        <f t="shared" si="37"/>
        <v>16.895804351051794</v>
      </c>
      <c r="V118" s="17">
        <f t="shared" si="38"/>
        <v>0</v>
      </c>
      <c r="W118" s="21">
        <f>Tabela2[[#This Row],[Transporte (R$/saca)]]/Tabela2[[#This Row],[Preço (R$/saca) - Paranaguá]]</f>
        <v>0.15800023569639923</v>
      </c>
      <c r="X118">
        <f>INDEX(L:L,MATCH(Tabela2[[#This Row],[Chave-Colheita]],C:C,0),1)</f>
        <v>14.88685330171498</v>
      </c>
      <c r="Y118" s="1">
        <f>Tabela2[[#This Row],[Transporte (R$/saca)]]/Tabela1[[#This Row],[Transporte (R$/saca)_Colheita]]</f>
        <v>1.0102709322091485</v>
      </c>
      <c r="Z118" s="1">
        <f>Tabela2[[#This Row],[Preço (R$/saca) - Paranaguá]]/Tabela2[[#This Row],[Preço (R$/saca)_Época da Colheita]]</f>
        <v>1.2772183629033738</v>
      </c>
    </row>
    <row r="119" spans="1:26" x14ac:dyDescent="0.25">
      <c r="A119" s="7">
        <v>2016</v>
      </c>
      <c r="B119" s="2">
        <v>7</v>
      </c>
      <c r="C119" s="2" t="str">
        <f t="shared" si="29"/>
        <v>7-2016</v>
      </c>
      <c r="D119" s="13">
        <v>42552</v>
      </c>
      <c r="E119" s="2">
        <v>26.691904761904766</v>
      </c>
      <c r="F119" s="2">
        <v>87.464285714285708</v>
      </c>
      <c r="G119" s="2">
        <f t="shared" si="31"/>
        <v>3.276809448200809</v>
      </c>
      <c r="H119" s="6">
        <f>INDEX('Taxa de Juros (Ano)'!C:C,MATCH(Base!A119,'Taxa de Juros (Ano)'!A:A,0),1)</f>
        <v>1.0999999999999998E-2</v>
      </c>
      <c r="I119" s="9" t="str">
        <f t="shared" si="32"/>
        <v>3-2016</v>
      </c>
      <c r="J119" s="2">
        <f t="shared" si="39"/>
        <v>74.527727272727262</v>
      </c>
      <c r="K119" s="1">
        <f t="shared" si="34"/>
        <v>3.2792199999999987</v>
      </c>
      <c r="L119">
        <v>14.57676083570672</v>
      </c>
      <c r="M119">
        <f t="shared" si="30"/>
        <v>4</v>
      </c>
      <c r="N119" s="12" t="str">
        <f t="shared" si="35"/>
        <v>4-2016</v>
      </c>
      <c r="Q119">
        <f>INDEX(SIARMA!D:D,MATCH(Base!M119,SIARMA!A:A,0),1)</f>
        <v>1.289666666666667</v>
      </c>
      <c r="R119" s="2">
        <f t="shared" si="36"/>
        <v>68.318638211912329</v>
      </c>
      <c r="S119" s="2">
        <f t="shared" si="26"/>
        <v>8.6777642409000464</v>
      </c>
      <c r="U119" s="17">
        <f t="shared" si="37"/>
        <v>8.6777642409000464</v>
      </c>
      <c r="V119" s="17">
        <f t="shared" si="38"/>
        <v>0</v>
      </c>
      <c r="W119" s="21">
        <f>Tabela2[[#This Row],[Transporte (R$/saca)]]/Tabela2[[#This Row],[Preço (R$/saca) - Paranaguá]]</f>
        <v>0.16665957672510748</v>
      </c>
      <c r="X119">
        <f>INDEX(L:L,MATCH(Tabela2[[#This Row],[Chave-Colheita]],C:C,0),1)</f>
        <v>14.88685330171498</v>
      </c>
      <c r="Y119" s="1">
        <f>Tabela2[[#This Row],[Transporte (R$/saca)]]/Tabela1[[#This Row],[Transporte (R$/saca)_Colheita]]</f>
        <v>0.97917004623317294</v>
      </c>
      <c r="Z119" s="1">
        <f>Tabela2[[#This Row],[Preço (R$/saca) - Paranaguá]]/Tabela2[[#This Row],[Preço (R$/saca)_Época da Colheita]]</f>
        <v>1.1735804768904103</v>
      </c>
    </row>
    <row r="120" spans="1:26" x14ac:dyDescent="0.25">
      <c r="A120" s="7">
        <v>2016</v>
      </c>
      <c r="B120" s="2">
        <v>8</v>
      </c>
      <c r="C120" s="2" t="str">
        <f t="shared" si="29"/>
        <v>8-2016</v>
      </c>
      <c r="D120" s="13">
        <v>42583</v>
      </c>
      <c r="E120" s="2">
        <v>25.469565217391313</v>
      </c>
      <c r="F120" s="2">
        <v>81.692173913043476</v>
      </c>
      <c r="G120" s="2">
        <f t="shared" si="31"/>
        <v>3.2074428132468409</v>
      </c>
      <c r="H120" s="6">
        <f>INDEX('Taxa de Juros (Ano)'!C:C,MATCH(Base!A120,'Taxa de Juros (Ano)'!A:A,0),1)</f>
        <v>1.0999999999999998E-2</v>
      </c>
      <c r="I120" s="9" t="str">
        <f t="shared" si="32"/>
        <v>3-2016</v>
      </c>
      <c r="J120" s="2">
        <f>INDEX($F$4:$F$136,MATCH(I120,$C$4:$C$136,0),1)</f>
        <v>74.527727272727262</v>
      </c>
      <c r="K120" s="1">
        <f t="shared" si="34"/>
        <v>4.0990249999999984</v>
      </c>
      <c r="L120">
        <v>13.436547716565757</v>
      </c>
      <c r="M120">
        <f t="shared" si="30"/>
        <v>5</v>
      </c>
      <c r="N120" s="12" t="str">
        <f t="shared" si="35"/>
        <v>5-2016</v>
      </c>
      <c r="Q120">
        <f>INDEX(SIARMA!D:D,MATCH(Base!M120,SIARMA!A:A,0),1)</f>
        <v>1.4270000000000005</v>
      </c>
      <c r="R120" s="2">
        <f t="shared" si="36"/>
        <v>62.729601196477716</v>
      </c>
      <c r="S120" s="2">
        <f t="shared" si="26"/>
        <v>3.0887272254654334</v>
      </c>
      <c r="U120" s="17">
        <f t="shared" si="37"/>
        <v>3.0887272254654334</v>
      </c>
      <c r="V120" s="17">
        <f t="shared" si="38"/>
        <v>0</v>
      </c>
      <c r="W120" s="21">
        <f>Tabela2[[#This Row],[Transporte (R$/saca)]]/Tabela2[[#This Row],[Preço (R$/saca) - Paranaguá]]</f>
        <v>0.16447778376993827</v>
      </c>
      <c r="X120">
        <f>INDEX(L:L,MATCH(Tabela2[[#This Row],[Chave-Colheita]],C:C,0),1)</f>
        <v>14.88685330171498</v>
      </c>
      <c r="Y120" s="1">
        <f>Tabela2[[#This Row],[Transporte (R$/saca)]]/Tabela1[[#This Row],[Transporte (R$/saca)_Colheita]]</f>
        <v>0.9025780965422594</v>
      </c>
      <c r="Z120" s="1">
        <f>Tabela2[[#This Row],[Preço (R$/saca) - Paranaguá]]/Tabela2[[#This Row],[Preço (R$/saca)_Época da Colheita]]</f>
        <v>1.0961312910307675</v>
      </c>
    </row>
    <row r="121" spans="1:26" x14ac:dyDescent="0.25">
      <c r="A121" s="7">
        <v>2016</v>
      </c>
      <c r="B121" s="2">
        <v>9</v>
      </c>
      <c r="C121" s="2" t="str">
        <f t="shared" si="29"/>
        <v>9-2016</v>
      </c>
      <c r="D121" s="13">
        <v>42614</v>
      </c>
      <c r="E121" s="2">
        <v>24.43095238095238</v>
      </c>
      <c r="F121" s="2">
        <v>79.499999999999986</v>
      </c>
      <c r="G121" s="2">
        <f t="shared" si="31"/>
        <v>3.2540688042101156</v>
      </c>
      <c r="H121" s="6">
        <f>INDEX('Taxa de Juros (Ano)'!C:C,MATCH(Base!A121,'Taxa de Juros (Ano)'!A:A,0),1)</f>
        <v>1.0999999999999998E-2</v>
      </c>
      <c r="I121" s="9" t="str">
        <f t="shared" si="32"/>
        <v>3-2016</v>
      </c>
      <c r="J121" s="2">
        <f>INDEX($F$4:$F$136,MATCH(I121,$C$4:$C$136,0),1)</f>
        <v>74.527727272727262</v>
      </c>
      <c r="K121" s="1">
        <f t="shared" si="34"/>
        <v>4.918829999999998</v>
      </c>
      <c r="L121">
        <v>11.638702477699351</v>
      </c>
      <c r="M121">
        <f t="shared" si="30"/>
        <v>6</v>
      </c>
      <c r="N121" s="12" t="str">
        <f t="shared" si="35"/>
        <v>6-2016</v>
      </c>
      <c r="Q121">
        <f>INDEX(SIARMA!D:D,MATCH(Base!M121,SIARMA!A:A,0),1)</f>
        <v>1.5643333333333338</v>
      </c>
      <c r="R121" s="2">
        <f t="shared" si="36"/>
        <v>61.378134188967294</v>
      </c>
      <c r="S121" s="2">
        <f t="shared" si="26"/>
        <v>1.7372602179550114</v>
      </c>
      <c r="U121" s="17">
        <f t="shared" si="37"/>
        <v>1.7372602179550114</v>
      </c>
      <c r="V121" s="17">
        <f t="shared" si="38"/>
        <v>0</v>
      </c>
      <c r="W121" s="21">
        <f>Tabela2[[#This Row],[Transporte (R$/saca)]]/Tabela2[[#This Row],[Preço (R$/saca) - Paranaguá]]</f>
        <v>0.14639877330439438</v>
      </c>
      <c r="X121">
        <f>INDEX(L:L,MATCH(Tabela2[[#This Row],[Chave-Colheita]],C:C,0),1)</f>
        <v>14.88685330171498</v>
      </c>
      <c r="Y121" s="1">
        <f>Tabela2[[#This Row],[Transporte (R$/saca)]]/Tabela1[[#This Row],[Transporte (R$/saca)_Colheita]]</f>
        <v>0.78181078578631258</v>
      </c>
      <c r="Z121" s="1">
        <f>Tabela2[[#This Row],[Preço (R$/saca) - Paranaguá]]/Tabela2[[#This Row],[Preço (R$/saca)_Época da Colheita]]</f>
        <v>1.0667170851604955</v>
      </c>
    </row>
    <row r="122" spans="1:26" x14ac:dyDescent="0.25">
      <c r="A122" s="7">
        <v>2016</v>
      </c>
      <c r="B122" s="2">
        <v>10</v>
      </c>
      <c r="C122" s="2" t="str">
        <f t="shared" si="29"/>
        <v>10-2016</v>
      </c>
      <c r="D122" s="13">
        <v>42644</v>
      </c>
      <c r="E122" s="2">
        <v>24.099499999999999</v>
      </c>
      <c r="F122" s="2">
        <v>76.703499999999991</v>
      </c>
      <c r="G122" s="2">
        <f t="shared" si="31"/>
        <v>3.1827838751841324</v>
      </c>
      <c r="H122" s="6">
        <f>INDEX('Taxa de Juros (Ano)'!C:C,MATCH(Base!A122,'Taxa de Juros (Ano)'!A:A,0),1)</f>
        <v>1.0999999999999998E-2</v>
      </c>
      <c r="I122" s="9" t="str">
        <f t="shared" si="32"/>
        <v>3-2016</v>
      </c>
      <c r="J122" s="2">
        <f t="shared" si="39"/>
        <v>74.527727272727262</v>
      </c>
      <c r="K122" s="1">
        <f t="shared" si="34"/>
        <v>5.7386349999999977</v>
      </c>
      <c r="L122">
        <v>9.7775741888150307</v>
      </c>
      <c r="M122">
        <f t="shared" si="30"/>
        <v>7</v>
      </c>
      <c r="N122" s="12" t="str">
        <f t="shared" si="35"/>
        <v>7-2016</v>
      </c>
      <c r="Q122">
        <f>INDEX(SIARMA!D:D,MATCH(Base!M122,SIARMA!A:A,0),1)</f>
        <v>1.7016666666666673</v>
      </c>
      <c r="R122" s="2">
        <f t="shared" si="36"/>
        <v>59.485624144518304</v>
      </c>
      <c r="S122" s="2">
        <f t="shared" si="26"/>
        <v>-0.15524982649397856</v>
      </c>
      <c r="U122" s="17">
        <f t="shared" si="37"/>
        <v>0</v>
      </c>
      <c r="V122" s="17">
        <f t="shared" si="38"/>
        <v>-0.15524982649397856</v>
      </c>
      <c r="W122" s="21">
        <f>Tabela2[[#This Row],[Transporte (R$/saca)]]/Tabela2[[#This Row],[Preço (R$/saca) - Paranaguá]]</f>
        <v>0.12747233423266255</v>
      </c>
      <c r="X122">
        <f>INDEX(L:L,MATCH(Tabela2[[#This Row],[Chave-Colheita]],C:C,0),1)</f>
        <v>14.88685330171498</v>
      </c>
      <c r="Y122" s="1">
        <f>Tabela2[[#This Row],[Transporte (R$/saca)]]/Tabela1[[#This Row],[Transporte (R$/saca)_Colheita]]</f>
        <v>0.65679253974301233</v>
      </c>
      <c r="Z122" s="1">
        <f>Tabela2[[#This Row],[Preço (R$/saca) - Paranaguá]]/Tabela2[[#This Row],[Preço (R$/saca)_Época da Colheita]]</f>
        <v>1.0291941376302902</v>
      </c>
    </row>
    <row r="123" spans="1:26" x14ac:dyDescent="0.25">
      <c r="A123" s="7">
        <v>2016</v>
      </c>
      <c r="B123" s="2">
        <v>11</v>
      </c>
      <c r="C123" s="2" t="str">
        <f t="shared" si="29"/>
        <v>11-2016</v>
      </c>
      <c r="D123" s="13">
        <v>42675</v>
      </c>
      <c r="E123" s="2">
        <v>23.444499999999998</v>
      </c>
      <c r="F123" s="2">
        <v>78.272500000000008</v>
      </c>
      <c r="G123" s="2">
        <f t="shared" si="31"/>
        <v>3.3386295293139123</v>
      </c>
      <c r="H123" s="6">
        <f>INDEX('Taxa de Juros (Ano)'!C:C,MATCH(Base!A123,'Taxa de Juros (Ano)'!A:A,0),1)</f>
        <v>1.0999999999999998E-2</v>
      </c>
      <c r="I123" s="9" t="str">
        <f t="shared" si="32"/>
        <v>3-2016</v>
      </c>
      <c r="J123" s="2">
        <f t="shared" si="39"/>
        <v>74.527727272727262</v>
      </c>
      <c r="K123" s="1">
        <f t="shared" si="34"/>
        <v>6.5584399999999974</v>
      </c>
      <c r="L123">
        <v>9.9361483835594804</v>
      </c>
      <c r="M123">
        <f t="shared" si="30"/>
        <v>8</v>
      </c>
      <c r="N123" s="12" t="str">
        <f t="shared" si="35"/>
        <v>8-2016</v>
      </c>
      <c r="Q123">
        <f>INDEX(SIARMA!D:D,MATCH(Base!M123,SIARMA!A:A,0),1)</f>
        <v>1.8390000000000011</v>
      </c>
      <c r="R123" s="2">
        <f t="shared" si="36"/>
        <v>59.938911616440528</v>
      </c>
      <c r="S123" s="2">
        <f t="shared" si="26"/>
        <v>0.29803764542824496</v>
      </c>
      <c r="U123" s="17">
        <f t="shared" si="37"/>
        <v>0.29803764542824496</v>
      </c>
      <c r="V123" s="17">
        <f t="shared" si="38"/>
        <v>0</v>
      </c>
      <c r="W123" s="21">
        <f>Tabela2[[#This Row],[Transporte (R$/saca)]]/Tabela2[[#This Row],[Preço (R$/saca) - Paranaguá]]</f>
        <v>0.1269430308672839</v>
      </c>
      <c r="X123">
        <f>INDEX(L:L,MATCH(Tabela2[[#This Row],[Chave-Colheita]],C:C,0),1)</f>
        <v>14.88685330171498</v>
      </c>
      <c r="Y123" s="1">
        <f>Tabela2[[#This Row],[Transporte (R$/saca)]]/Tabela1[[#This Row],[Transporte (R$/saca)_Colheita]]</f>
        <v>0.66744450168087743</v>
      </c>
      <c r="Z123" s="1">
        <f>Tabela2[[#This Row],[Preço (R$/saca) - Paranaguá]]/Tabela2[[#This Row],[Preço (R$/saca)_Época da Colheita]]</f>
        <v>1.0502467050091182</v>
      </c>
    </row>
    <row r="124" spans="1:26" x14ac:dyDescent="0.25">
      <c r="A124" s="7">
        <v>2016</v>
      </c>
      <c r="B124" s="2">
        <v>12</v>
      </c>
      <c r="C124" s="2" t="str">
        <f t="shared" si="29"/>
        <v>12-2016</v>
      </c>
      <c r="D124" s="13">
        <v>42705</v>
      </c>
      <c r="E124" s="2">
        <v>23.392857142857149</v>
      </c>
      <c r="F124" s="2">
        <v>78.429047619047623</v>
      </c>
      <c r="G124" s="2">
        <f t="shared" si="31"/>
        <v>3.352692111959287</v>
      </c>
      <c r="H124" s="6">
        <f>INDEX('Taxa de Juros (Ano)'!C:C,MATCH(Base!A124,'Taxa de Juros (Ano)'!A:A,0),1)</f>
        <v>1.0999999999999998E-2</v>
      </c>
      <c r="I124" s="9" t="str">
        <f t="shared" si="32"/>
        <v>3-2016</v>
      </c>
      <c r="J124" s="2">
        <f>INDEX($F$4:$F$136,MATCH(I124,$C$4:$C$136,0),1)</f>
        <v>74.527727272727262</v>
      </c>
      <c r="K124" s="1">
        <f t="shared" si="34"/>
        <v>7.3782449999999971</v>
      </c>
      <c r="L124">
        <v>10.2635540669596</v>
      </c>
      <c r="M124">
        <f t="shared" si="30"/>
        <v>9</v>
      </c>
      <c r="N124" s="12" t="str">
        <f t="shared" si="35"/>
        <v>9-2016</v>
      </c>
      <c r="Q124">
        <f>INDEX(SIARMA!D:D,MATCH(Base!M124,SIARMA!A:A,0),1)</f>
        <v>1.9763333333333346</v>
      </c>
      <c r="R124" s="2">
        <f t="shared" si="36"/>
        <v>58.810915218754694</v>
      </c>
      <c r="S124" s="2">
        <f t="shared" si="26"/>
        <v>-0.82995875225758908</v>
      </c>
      <c r="U124" s="17">
        <f t="shared" si="37"/>
        <v>0</v>
      </c>
      <c r="V124" s="17">
        <f t="shared" si="38"/>
        <v>-0.82995875225758908</v>
      </c>
      <c r="W124" s="21">
        <f>Tabela2[[#This Row],[Transporte (R$/saca)]]/Tabela2[[#This Row],[Preço (R$/saca) - Paranaguá]]</f>
        <v>0.13086419354232917</v>
      </c>
      <c r="X124">
        <f>INDEX(L:L,MATCH(Tabela2[[#This Row],[Chave-Colheita]],C:C,0),1)</f>
        <v>14.88685330171498</v>
      </c>
      <c r="Y124" s="1">
        <f>Tabela2[[#This Row],[Transporte (R$/saca)]]/Tabela1[[#This Row],[Transporte (R$/saca)_Colheita]]</f>
        <v>0.68943744248337746</v>
      </c>
      <c r="Z124" s="1">
        <f>Tabela2[[#This Row],[Preço (R$/saca) - Paranaguá]]/Tabela2[[#This Row],[Preço (R$/saca)_Época da Colheita]]</f>
        <v>1.0523472335610591</v>
      </c>
    </row>
    <row r="125" spans="1:26" x14ac:dyDescent="0.25">
      <c r="A125" s="7">
        <v>2017</v>
      </c>
      <c r="B125" s="2">
        <v>1</v>
      </c>
      <c r="C125" s="2" t="str">
        <f t="shared" ref="C125:C132" si="40">CONCATENATE(B125,"-",A125)</f>
        <v>1-2017</v>
      </c>
      <c r="D125" s="13">
        <v>42736</v>
      </c>
      <c r="E125" s="2">
        <v>23.802727272727278</v>
      </c>
      <c r="F125" s="2">
        <v>76.033636363636347</v>
      </c>
      <c r="G125" s="2">
        <f t="shared" ref="G125:G132" si="41">F125/E125</f>
        <v>3.1943245617385312</v>
      </c>
      <c r="H125" s="6">
        <f>INDEX('Taxa de Juros (Ano)'!C:C,MATCH(Base!A125,'Taxa de Juros (Ano)'!A:A,0),1)</f>
        <v>7.7083333333333335E-3</v>
      </c>
      <c r="I125" s="9" t="str">
        <f t="shared" ref="I125:I132" si="42">CONCATENATE($B$1,"-",A125)</f>
        <v>3-2017</v>
      </c>
      <c r="J125" s="2">
        <f>INDEX($F$4:$F$136,MATCH(I125,$C$4:$C$136,0),1)</f>
        <v>70.006086956521727</v>
      </c>
      <c r="K125" s="1">
        <f t="shared" ref="K125:K132" si="43">J125*H125*M125</f>
        <v>0</v>
      </c>
      <c r="L125" s="51">
        <v>12.770394</v>
      </c>
      <c r="M125">
        <f t="shared" ref="M125:M132" si="44">IF(B125&lt;=$B$1,0,B125-$B$1)</f>
        <v>0</v>
      </c>
      <c r="N125" s="12" t="str">
        <f t="shared" ref="N125:N132" si="45">CONCATENATE(M125,"-",A125)</f>
        <v>0-2017</v>
      </c>
      <c r="Q125">
        <f>INDEX(SIARMA!D:D,MATCH(Base!M125,SIARMA!A:A,0),1)</f>
        <v>0</v>
      </c>
      <c r="R125" s="2">
        <f t="shared" si="36"/>
        <v>0</v>
      </c>
      <c r="S125" s="2">
        <f t="shared" si="26"/>
        <v>0</v>
      </c>
      <c r="U125" s="17">
        <f t="shared" si="37"/>
        <v>0</v>
      </c>
      <c r="V125" s="17">
        <f t="shared" si="38"/>
        <v>0</v>
      </c>
      <c r="W125" s="21">
        <f>Tabela2[[#This Row],[Transporte (R$/saca)]]/Tabela2[[#This Row],[Preço (R$/saca) - Paranaguá]]</f>
        <v>0.16795716489113674</v>
      </c>
      <c r="X125">
        <f>INDEX(L:L,MATCH(Tabela2[[#This Row],[Chave-Colheita]],C:C,0),1)</f>
        <v>19.497076190476189</v>
      </c>
      <c r="Y125" s="1">
        <f>Tabela2[[#This Row],[Transporte (R$/saca)]]/Tabela1[[#This Row],[Transporte (R$/saca)_Colheita]]</f>
        <v>0.6549902085440894</v>
      </c>
      <c r="Z125" s="1">
        <f>Tabela2[[#This Row],[Preço (R$/saca) - Paranaguá]]/Tabela2[[#This Row],[Preço (R$/saca)_Época da Colheita]]</f>
        <v>1.0861003616850935</v>
      </c>
    </row>
    <row r="126" spans="1:26" x14ac:dyDescent="0.25">
      <c r="A126" s="7">
        <v>2017</v>
      </c>
      <c r="B126" s="2">
        <v>2</v>
      </c>
      <c r="C126" s="2" t="str">
        <f t="shared" si="40"/>
        <v>2-2017</v>
      </c>
      <c r="D126" s="13">
        <v>42767</v>
      </c>
      <c r="E126" s="2">
        <v>23.811666666666671</v>
      </c>
      <c r="F126" s="2">
        <v>73.86166666666665</v>
      </c>
      <c r="G126" s="2">
        <f t="shared" si="41"/>
        <v>3.1019108280254764</v>
      </c>
      <c r="H126" s="6">
        <f>INDEX('Taxa de Juros (Ano)'!C:C,MATCH(Base!A126,'Taxa de Juros (Ano)'!A:A,0),1)</f>
        <v>7.7083333333333335E-3</v>
      </c>
      <c r="I126" s="9" t="str">
        <f t="shared" si="42"/>
        <v>3-2017</v>
      </c>
      <c r="J126" s="2">
        <f>INDEX($F$4:$F$136,MATCH(I126,$C$4:$C$136,0),1)</f>
        <v>70.006086956521727</v>
      </c>
      <c r="K126" s="1">
        <f t="shared" si="43"/>
        <v>0</v>
      </c>
      <c r="L126" s="51">
        <v>16.270230333333334</v>
      </c>
      <c r="M126">
        <f t="shared" si="44"/>
        <v>0</v>
      </c>
      <c r="N126" s="12" t="str">
        <f t="shared" si="45"/>
        <v>0-2017</v>
      </c>
      <c r="Q126">
        <f>INDEX(SIARMA!D:D,MATCH(Base!M126,SIARMA!A:A,0),1)</f>
        <v>0</v>
      </c>
      <c r="R126" s="2">
        <f t="shared" si="36"/>
        <v>0</v>
      </c>
      <c r="S126" s="2">
        <f t="shared" si="26"/>
        <v>0</v>
      </c>
      <c r="U126" s="17">
        <f t="shared" si="37"/>
        <v>0</v>
      </c>
      <c r="V126" s="17">
        <f t="shared" si="38"/>
        <v>0</v>
      </c>
      <c r="W126" s="21">
        <f>Tabela2[[#This Row],[Transporte (R$/saca)]]/Tabela2[[#This Row],[Preço (R$/saca) - Paranaguá]]</f>
        <v>0.22027976171672276</v>
      </c>
      <c r="X126">
        <f>INDEX(L:L,MATCH(Tabela2[[#This Row],[Chave-Colheita]],C:C,0),1)</f>
        <v>19.497076190476189</v>
      </c>
      <c r="Y126" s="1">
        <f>Tabela2[[#This Row],[Transporte (R$/saca)]]/Tabela1[[#This Row],[Transporte (R$/saca)_Colheita]]</f>
        <v>0.83449590976522492</v>
      </c>
      <c r="Z126" s="1">
        <f>Tabela2[[#This Row],[Preço (R$/saca) - Paranaguá]]/Tabela2[[#This Row],[Preço (R$/saca)_Época da Colheita]]</f>
        <v>1.0550749210213604</v>
      </c>
    </row>
    <row r="127" spans="1:26" x14ac:dyDescent="0.25">
      <c r="A127" s="7">
        <v>2017</v>
      </c>
      <c r="B127" s="2">
        <v>3</v>
      </c>
      <c r="C127" s="2" t="str">
        <f t="shared" si="40"/>
        <v>3-2017</v>
      </c>
      <c r="D127" s="13">
        <v>42795</v>
      </c>
      <c r="E127" s="2">
        <v>22.396086956521739</v>
      </c>
      <c r="F127" s="2">
        <v>70.006086956521727</v>
      </c>
      <c r="G127" s="2">
        <f t="shared" si="41"/>
        <v>3.1258177864922052</v>
      </c>
      <c r="H127" s="6">
        <f>INDEX('Taxa de Juros (Ano)'!C:C,MATCH(Base!A127,'Taxa de Juros (Ano)'!A:A,0),1)</f>
        <v>7.7083333333333335E-3</v>
      </c>
      <c r="I127" s="9" t="str">
        <f t="shared" si="42"/>
        <v>3-2017</v>
      </c>
      <c r="J127" s="2">
        <f t="shared" si="39"/>
        <v>70.006086956521727</v>
      </c>
      <c r="K127" s="1">
        <f t="shared" si="43"/>
        <v>0</v>
      </c>
      <c r="L127" s="51">
        <v>19.497076190476189</v>
      </c>
      <c r="M127">
        <f t="shared" si="44"/>
        <v>0</v>
      </c>
      <c r="N127" s="12" t="str">
        <f t="shared" si="45"/>
        <v>0-2017</v>
      </c>
      <c r="Q127">
        <f>INDEX(SIARMA!D:D,MATCH(Base!M127,SIARMA!A:A,0),1)</f>
        <v>0</v>
      </c>
      <c r="R127" s="2">
        <f t="shared" si="36"/>
        <v>50.509010766045535</v>
      </c>
      <c r="S127" s="2">
        <f t="shared" si="26"/>
        <v>0</v>
      </c>
      <c r="U127" s="17">
        <f t="shared" si="37"/>
        <v>0</v>
      </c>
      <c r="V127" s="17">
        <f t="shared" si="38"/>
        <v>0</v>
      </c>
      <c r="W127" s="21">
        <f>Tabela2[[#This Row],[Transporte (R$/saca)]]/Tabela2[[#This Row],[Preço (R$/saca) - Paranaguá]]</f>
        <v>0.2785054419994239</v>
      </c>
      <c r="X127">
        <f>INDEX(L:L,MATCH(Tabela2[[#This Row],[Chave-Colheita]],C:C,0),1)</f>
        <v>19.497076190476189</v>
      </c>
      <c r="Y127" s="1">
        <f>Tabela2[[#This Row],[Transporte (R$/saca)]]/Tabela1[[#This Row],[Transporte (R$/saca)_Colheita]]</f>
        <v>1</v>
      </c>
      <c r="Z127" s="1">
        <f>Tabela2[[#This Row],[Preço (R$/saca) - Paranaguá]]/Tabela2[[#This Row],[Preço (R$/saca)_Época da Colheita]]</f>
        <v>1</v>
      </c>
    </row>
    <row r="128" spans="1:26" x14ac:dyDescent="0.25">
      <c r="A128" s="7">
        <v>2017</v>
      </c>
      <c r="B128" s="2">
        <v>4</v>
      </c>
      <c r="C128" s="2" t="str">
        <f t="shared" si="40"/>
        <v>4-2017</v>
      </c>
      <c r="D128" s="13">
        <v>42826</v>
      </c>
      <c r="E128" s="2">
        <v>20.962777777777777</v>
      </c>
      <c r="F128" s="2">
        <v>65.819999999999993</v>
      </c>
      <c r="G128" s="2">
        <f t="shared" si="41"/>
        <v>3.1398510587549358</v>
      </c>
      <c r="H128" s="6">
        <f>INDEX('Taxa de Juros (Ano)'!C:C,MATCH(Base!A128,'Taxa de Juros (Ano)'!A:A,0),1)</f>
        <v>7.7083333333333335E-3</v>
      </c>
      <c r="I128" s="9" t="str">
        <f t="shared" si="42"/>
        <v>3-2017</v>
      </c>
      <c r="J128" s="2">
        <f t="shared" ref="J128:J136" si="46">INDEX($F$4:$F$136,MATCH(I128,$C$4:$C$136,0),1)</f>
        <v>70.006086956521727</v>
      </c>
      <c r="K128" s="1">
        <f t="shared" si="43"/>
        <v>0.53963025362318828</v>
      </c>
      <c r="L128" s="51">
        <v>18.061499999999999</v>
      </c>
      <c r="M128">
        <f t="shared" si="44"/>
        <v>1</v>
      </c>
      <c r="N128" s="12" t="str">
        <f t="shared" si="45"/>
        <v>1-2017</v>
      </c>
      <c r="Q128">
        <f>INDEX(SIARMA!D:D,MATCH(Base!M128,SIARMA!A:A,0),1)</f>
        <v>0.92800000000000016</v>
      </c>
      <c r="R128" s="2">
        <f t="shared" si="36"/>
        <v>46.290869746376814</v>
      </c>
      <c r="S128" s="2">
        <f t="shared" si="26"/>
        <v>-4.218141019668721</v>
      </c>
      <c r="U128" s="17">
        <f t="shared" si="37"/>
        <v>0</v>
      </c>
      <c r="V128" s="17">
        <f t="shared" si="38"/>
        <v>-4.218141019668721</v>
      </c>
      <c r="W128" s="21">
        <f>Tabela2[[#This Row],[Transporte (R$/saca)]]/Tabela2[[#This Row],[Preço (R$/saca) - Paranaguá]]</f>
        <v>0.27440747493163176</v>
      </c>
      <c r="X128">
        <f>INDEX(L:L,MATCH(Tabela2[[#This Row],[Chave-Colheita]],C:C,0),1)</f>
        <v>19.497076190476189</v>
      </c>
      <c r="Y128" s="1">
        <f>Tabela2[[#This Row],[Transporte (R$/saca)]]/Tabela1[[#This Row],[Transporte (R$/saca)_Colheita]]</f>
        <v>0.92636966812606336</v>
      </c>
      <c r="Z128" s="1">
        <f>Tabela2[[#This Row],[Preço (R$/saca) - Paranaguá]]/Tabela2[[#This Row],[Preço (R$/saca)_Época da Colheita]]</f>
        <v>0.94020395741985174</v>
      </c>
    </row>
    <row r="129" spans="1:26" x14ac:dyDescent="0.25">
      <c r="A129" s="7">
        <v>2017</v>
      </c>
      <c r="B129" s="2">
        <v>5</v>
      </c>
      <c r="C129" s="2" t="str">
        <f t="shared" si="40"/>
        <v>5-2017</v>
      </c>
      <c r="D129" s="13">
        <v>42856</v>
      </c>
      <c r="E129" s="2">
        <v>21.484090909090909</v>
      </c>
      <c r="F129" s="2">
        <v>68.936818181818182</v>
      </c>
      <c r="G129" s="2">
        <f t="shared" si="41"/>
        <v>3.208737966783032</v>
      </c>
      <c r="H129" s="6">
        <f>INDEX('Taxa de Juros (Ano)'!C:C,MATCH(Base!A129,'Taxa de Juros (Ano)'!A:A,0),1)</f>
        <v>7.7083333333333335E-3</v>
      </c>
      <c r="I129" s="9" t="str">
        <f t="shared" si="42"/>
        <v>3-2017</v>
      </c>
      <c r="J129" s="2">
        <f t="shared" si="46"/>
        <v>70.006086956521727</v>
      </c>
      <c r="K129" s="1">
        <f t="shared" si="43"/>
        <v>1.0792605072463766</v>
      </c>
      <c r="L129" s="51">
        <v>16.996575</v>
      </c>
      <c r="M129">
        <f t="shared" si="44"/>
        <v>2</v>
      </c>
      <c r="N129" s="12" t="str">
        <f t="shared" si="45"/>
        <v>2-2017</v>
      </c>
      <c r="Q129">
        <f>INDEX(SIARMA!D:D,MATCH(Base!M129,SIARMA!A:A,0),1)</f>
        <v>1.0149999999999999</v>
      </c>
      <c r="R129" s="2">
        <f t="shared" si="36"/>
        <v>49.845982674571808</v>
      </c>
      <c r="S129" s="2">
        <f t="shared" si="26"/>
        <v>-0.66302809147372699</v>
      </c>
      <c r="U129" s="17">
        <f t="shared" si="37"/>
        <v>0</v>
      </c>
      <c r="V129" s="17">
        <f t="shared" si="38"/>
        <v>-0.66302809147372699</v>
      </c>
      <c r="W129" s="21">
        <f>Tabela2[[#This Row],[Transporte (R$/saca)]]/Tabela2[[#This Row],[Preço (R$/saca) - Paranaguá]]</f>
        <v>0.24655293714270643</v>
      </c>
      <c r="X129">
        <f>INDEX(L:L,MATCH(Tabela2[[#This Row],[Chave-Colheita]],C:C,0),1)</f>
        <v>19.497076190476189</v>
      </c>
      <c r="Y129" s="1">
        <f>Tabela2[[#This Row],[Transporte (R$/saca)]]/Tabela1[[#This Row],[Transporte (R$/saca)_Colheita]]</f>
        <v>0.87174994003984974</v>
      </c>
      <c r="Z129" s="1">
        <f>Tabela2[[#This Row],[Preço (R$/saca) - Paranaguá]]/Tabela2[[#This Row],[Preço (R$/saca)_Época da Colheita]]</f>
        <v>0.98472605995864859</v>
      </c>
    </row>
    <row r="130" spans="1:26" x14ac:dyDescent="0.25">
      <c r="A130" s="7">
        <v>2017</v>
      </c>
      <c r="B130" s="2">
        <v>6</v>
      </c>
      <c r="C130" s="2" t="str">
        <f t="shared" si="40"/>
        <v>6-2017</v>
      </c>
      <c r="D130" s="13">
        <v>42887</v>
      </c>
      <c r="E130" s="2">
        <v>20.917619047619048</v>
      </c>
      <c r="F130" s="2">
        <v>68.950952380952373</v>
      </c>
      <c r="G130" s="2">
        <f t="shared" si="41"/>
        <v>3.2963097866915558</v>
      </c>
      <c r="H130" s="6">
        <f>INDEX('Taxa de Juros (Ano)'!C:C,MATCH(Base!A130,'Taxa de Juros (Ano)'!A:A,0),1)</f>
        <v>7.7083333333333335E-3</v>
      </c>
      <c r="I130" s="9" t="str">
        <f t="shared" si="42"/>
        <v>3-2017</v>
      </c>
      <c r="J130" s="2">
        <f t="shared" si="46"/>
        <v>70.006086956521727</v>
      </c>
      <c r="K130" s="1">
        <f t="shared" si="43"/>
        <v>1.6188907608695648</v>
      </c>
      <c r="L130" s="51">
        <v>17.667749999999998</v>
      </c>
      <c r="M130">
        <f t="shared" si="44"/>
        <v>3</v>
      </c>
      <c r="N130" s="12" t="str">
        <f t="shared" si="45"/>
        <v>3-2017</v>
      </c>
      <c r="Q130">
        <f>INDEX(SIARMA!D:D,MATCH(Base!M130,SIARMA!A:A,0),1)</f>
        <v>1.1523333333333334</v>
      </c>
      <c r="R130" s="2">
        <f t="shared" si="36"/>
        <v>48.511978286749482</v>
      </c>
      <c r="S130" s="2">
        <f t="shared" si="26"/>
        <v>-1.9970324792960525</v>
      </c>
      <c r="U130" s="17">
        <f t="shared" si="37"/>
        <v>0</v>
      </c>
      <c r="V130" s="17">
        <f t="shared" si="38"/>
        <v>-1.9970324792960525</v>
      </c>
      <c r="W130" s="21">
        <f>Tabela2[[#This Row],[Transporte (R$/saca)]]/Tabela2[[#This Row],[Preço (R$/saca) - Paranaguá]]</f>
        <v>0.25623648970627844</v>
      </c>
      <c r="X130">
        <f>INDEX(L:L,MATCH(Tabela2[[#This Row],[Chave-Colheita]],C:C,0),1)</f>
        <v>19.497076190476189</v>
      </c>
      <c r="Y130" s="1">
        <f>Tabela2[[#This Row],[Transporte (R$/saca)]]/Tabela1[[#This Row],[Transporte (R$/saca)_Colheita]]</f>
        <v>0.90617433236631817</v>
      </c>
      <c r="Z130" s="1">
        <f>Tabela2[[#This Row],[Preço (R$/saca) - Paranaguá]]/Tabela2[[#This Row],[Preço (R$/saca)_Época da Colheita]]</f>
        <v>0.98492795953265233</v>
      </c>
    </row>
    <row r="131" spans="1:26" x14ac:dyDescent="0.25">
      <c r="A131" s="7">
        <v>2017</v>
      </c>
      <c r="B131" s="2">
        <v>7</v>
      </c>
      <c r="C131" s="2" t="str">
        <f t="shared" si="40"/>
        <v>7-2017</v>
      </c>
      <c r="D131" s="13">
        <v>42917</v>
      </c>
      <c r="E131" s="2">
        <v>22.578571428571422</v>
      </c>
      <c r="F131" s="2">
        <v>72.240952380952393</v>
      </c>
      <c r="G131" s="2">
        <f t="shared" si="41"/>
        <v>3.19953601181061</v>
      </c>
      <c r="H131" s="6">
        <f>INDEX('Taxa de Juros (Ano)'!C:C,MATCH(Base!A131,'Taxa de Juros (Ano)'!A:A,0),1)</f>
        <v>7.7083333333333335E-3</v>
      </c>
      <c r="I131" s="9" t="str">
        <f t="shared" si="42"/>
        <v>3-2017</v>
      </c>
      <c r="J131" s="2">
        <f t="shared" si="46"/>
        <v>70.006086956521727</v>
      </c>
      <c r="K131" s="1">
        <f t="shared" si="43"/>
        <v>2.1585210144927531</v>
      </c>
      <c r="L131" s="51">
        <v>17.07</v>
      </c>
      <c r="M131">
        <f t="shared" si="44"/>
        <v>4</v>
      </c>
      <c r="N131" s="12" t="str">
        <f t="shared" si="45"/>
        <v>4-2017</v>
      </c>
      <c r="Q131">
        <f>INDEX(SIARMA!D:D,MATCH(Base!M131,SIARMA!A:A,0),1)</f>
        <v>1.289666666666667</v>
      </c>
      <c r="R131" s="2">
        <f t="shared" si="36"/>
        <v>51.722764699792975</v>
      </c>
      <c r="S131" s="2">
        <f t="shared" si="26"/>
        <v>1.2137539337474408</v>
      </c>
      <c r="U131" s="17">
        <f t="shared" si="37"/>
        <v>1.2137539337474408</v>
      </c>
      <c r="V131" s="17">
        <f t="shared" si="38"/>
        <v>0</v>
      </c>
      <c r="W131" s="21">
        <f>Tabela2[[#This Row],[Transporte (R$/saca)]]/Tabela2[[#This Row],[Preço (R$/saca) - Paranaguá]]</f>
        <v>0.23629256588401246</v>
      </c>
      <c r="X131">
        <f>INDEX(L:L,MATCH(Tabela2[[#This Row],[Chave-Colheita]],C:C,0),1)</f>
        <v>19.497076190476189</v>
      </c>
      <c r="Y131" s="1">
        <f>Tabela2[[#This Row],[Transporte (R$/saca)]]/Tabela1[[#This Row],[Transporte (R$/saca)_Colheita]]</f>
        <v>0.87551588931771462</v>
      </c>
      <c r="Z131" s="1">
        <f>Tabela2[[#This Row],[Preço (R$/saca) - Paranaguá]]/Tabela2[[#This Row],[Preço (R$/saca)_Época da Colheita]]</f>
        <v>1.0319238729314875</v>
      </c>
    </row>
    <row r="132" spans="1:26" x14ac:dyDescent="0.25">
      <c r="A132" s="7">
        <v>2017</v>
      </c>
      <c r="B132" s="2">
        <v>8</v>
      </c>
      <c r="C132" s="2" t="str">
        <f t="shared" si="40"/>
        <v>8-2017</v>
      </c>
      <c r="D132" s="13">
        <v>42948</v>
      </c>
      <c r="E132" s="2">
        <v>22.165217391304346</v>
      </c>
      <c r="F132" s="2">
        <v>69.826521739130428</v>
      </c>
      <c r="G132" s="2">
        <f t="shared" si="41"/>
        <v>3.1502746174970575</v>
      </c>
      <c r="H132" s="6">
        <f>INDEX('Taxa de Juros (Ano)'!C:C,MATCH(Base!A132,'Taxa de Juros (Ano)'!A:A,0),1)</f>
        <v>7.7083333333333335E-3</v>
      </c>
      <c r="I132" s="9" t="str">
        <f t="shared" si="42"/>
        <v>3-2017</v>
      </c>
      <c r="J132" s="2">
        <f t="shared" si="46"/>
        <v>70.006086956521727</v>
      </c>
      <c r="K132" s="1">
        <f t="shared" si="43"/>
        <v>2.6981512681159412</v>
      </c>
      <c r="L132" s="51">
        <v>16.933090909090918</v>
      </c>
      <c r="M132">
        <f t="shared" si="44"/>
        <v>5</v>
      </c>
      <c r="N132" s="12" t="str">
        <f t="shared" si="45"/>
        <v>5-2017</v>
      </c>
      <c r="Q132">
        <f>INDEX(SIARMA!D:D,MATCH(Base!M132,SIARMA!A:A,0),1)</f>
        <v>1.4270000000000005</v>
      </c>
      <c r="R132" s="2">
        <f t="shared" si="36"/>
        <v>48.768279561923556</v>
      </c>
      <c r="S132" s="2">
        <f t="shared" si="26"/>
        <v>-1.7407312041219782</v>
      </c>
      <c r="U132" s="17">
        <f t="shared" si="37"/>
        <v>0</v>
      </c>
      <c r="V132" s="17">
        <f t="shared" si="38"/>
        <v>-1.7407312041219782</v>
      </c>
      <c r="W132" s="21">
        <f>Tabela2[[#This Row],[Transporte (R$/saca)]]/Tabela2[[#This Row],[Preço (R$/saca) - Paranaguá]]</f>
        <v>0.24250228261909401</v>
      </c>
      <c r="X132">
        <f>INDEX(L:L,MATCH(Tabela2[[#This Row],[Chave-Colheita]],C:C,0),1)</f>
        <v>19.497076190476189</v>
      </c>
      <c r="Y132" s="1">
        <f>Tabela2[[#This Row],[Transporte (R$/saca)]]/Tabela1[[#This Row],[Transporte (R$/saca)_Colheita]]</f>
        <v>0.868493857420647</v>
      </c>
      <c r="Z132" s="1">
        <f>Tabela2[[#This Row],[Preço (R$/saca) - Paranaguá]]/Tabela2[[#This Row],[Preço (R$/saca)_Época da Colheita]]</f>
        <v>0.99743500565168253</v>
      </c>
    </row>
    <row r="133" spans="1:26" x14ac:dyDescent="0.25">
      <c r="A133" s="7">
        <v>2017</v>
      </c>
      <c r="B133" s="2">
        <v>9</v>
      </c>
      <c r="C133" s="2" t="str">
        <f>CONCATENATE(B133,"-",A133)</f>
        <v>9-2017</v>
      </c>
      <c r="D133" s="13">
        <v>42979</v>
      </c>
      <c r="E133" s="50">
        <v>22.45</v>
      </c>
      <c r="F133" s="50">
        <v>70.41</v>
      </c>
      <c r="G133" s="2">
        <f>F133/E133</f>
        <v>3.1363028953229399</v>
      </c>
      <c r="H133" s="6">
        <f>INDEX('Taxa de Juros (Ano)'!C:C,MATCH(Base!A133,'Taxa de Juros (Ano)'!A:A,0),1)</f>
        <v>7.7083333333333335E-3</v>
      </c>
      <c r="I133" s="9" t="str">
        <f>CONCATENATE($B$1,"-",A133)</f>
        <v>3-2017</v>
      </c>
      <c r="J133" s="2">
        <f t="shared" si="46"/>
        <v>70.006086956521727</v>
      </c>
      <c r="K133" s="1">
        <f>J133*H133*M133</f>
        <v>3.2377815217391297</v>
      </c>
      <c r="L133" s="51">
        <v>18.238090909090911</v>
      </c>
      <c r="M133">
        <f>IF(B133&lt;=$B$1,0,B133-$B$1)</f>
        <v>6</v>
      </c>
      <c r="N133" s="12" t="str">
        <f>CONCATENATE(M133,"-",A133)</f>
        <v>6-2017</v>
      </c>
      <c r="Q133">
        <f>INDEX(SIARMA!D:D,MATCH(Base!M133,SIARMA!A:A,0),1)</f>
        <v>1.5643333333333338</v>
      </c>
      <c r="R133" s="2">
        <f t="shared" si="36"/>
        <v>47.369794235836615</v>
      </c>
      <c r="S133" s="2">
        <f t="shared" ref="S133:S136" si="47">IF(R133=0,0,R133-(J133-X133))</f>
        <v>-3.1392165302089197</v>
      </c>
      <c r="U133" s="17">
        <f t="shared" si="37"/>
        <v>0</v>
      </c>
      <c r="V133" s="17">
        <f t="shared" si="38"/>
        <v>-3.1392165302089197</v>
      </c>
      <c r="W133" s="21">
        <f>Tabela2[[#This Row],[Transporte (R$/saca)]]/Tabela2[[#This Row],[Preço (R$/saca) - Paranaguá]]</f>
        <v>0.25902699771468418</v>
      </c>
      <c r="X133">
        <f>INDEX(L:L,MATCH(Tabela2[[#This Row],[Chave-Colheita]],C:C,0),1)</f>
        <v>19.497076190476189</v>
      </c>
      <c r="Y133" s="1">
        <f>Tabela2[[#This Row],[Transporte (R$/saca)]]/Tabela1[[#This Row],[Transporte (R$/saca)_Colheita]]</f>
        <v>0.93542697022437349</v>
      </c>
      <c r="Z133" s="1">
        <f>Tabela2[[#This Row],[Preço (R$/saca) - Paranaguá]]/Tabela2[[#This Row],[Preço (R$/saca)_Época da Colheita]]</f>
        <v>1.0057696846236974</v>
      </c>
    </row>
    <row r="134" spans="1:26" x14ac:dyDescent="0.25">
      <c r="A134" s="7">
        <v>2017</v>
      </c>
      <c r="B134" s="2">
        <v>10</v>
      </c>
      <c r="C134" s="2" t="str">
        <f>CONCATENATE(B134,"-",A134)</f>
        <v>10-2017</v>
      </c>
      <c r="D134" s="13">
        <v>43009</v>
      </c>
      <c r="E134" s="50">
        <v>22.37</v>
      </c>
      <c r="F134" s="50">
        <v>71.459999999999994</v>
      </c>
      <c r="G134" s="2">
        <f>F134/E134</f>
        <v>3.1944568618685736</v>
      </c>
      <c r="H134" s="6">
        <f>INDEX('Taxa de Juros (Ano)'!C:C,MATCH(Base!A134,'Taxa de Juros (Ano)'!A:A,0),1)</f>
        <v>7.7083333333333335E-3</v>
      </c>
      <c r="I134" s="9" t="str">
        <f>CONCATENATE($B$1,"-",A134)</f>
        <v>3-2017</v>
      </c>
      <c r="J134" s="2">
        <f t="shared" si="46"/>
        <v>70.006086956521727</v>
      </c>
      <c r="K134" s="1">
        <f>J134*H134*M134</f>
        <v>3.7774117753623182</v>
      </c>
      <c r="L134" s="51">
        <v>18.077946428571426</v>
      </c>
      <c r="M134">
        <f>IF(B134&lt;=$B$1,0,B134-$B$1)</f>
        <v>7</v>
      </c>
      <c r="N134" s="12" t="str">
        <f>CONCATENATE(M134,"-",A134)</f>
        <v>7-2017</v>
      </c>
      <c r="Q134">
        <f>INDEX(SIARMA!D:D,MATCH(Base!M134,SIARMA!A:A,0),1)</f>
        <v>1.7016666666666673</v>
      </c>
      <c r="R134" s="2">
        <f t="shared" si="36"/>
        <v>47.902975129399586</v>
      </c>
      <c r="S134" s="2">
        <f t="shared" si="47"/>
        <v>-2.6060356366459487</v>
      </c>
      <c r="U134" s="17">
        <f t="shared" si="37"/>
        <v>0</v>
      </c>
      <c r="V134" s="17">
        <f t="shared" si="38"/>
        <v>-2.6060356366459487</v>
      </c>
      <c r="W134" s="21">
        <f>Tabela2[[#This Row],[Transporte (R$/saca)]]/Tabela2[[#This Row],[Preço (R$/saca) - Paranaguá]]</f>
        <v>0.25297993882691616</v>
      </c>
      <c r="X134">
        <f>INDEX(L:L,MATCH(Tabela2[[#This Row],[Chave-Colheita]],C:C,0),1)</f>
        <v>19.497076190476189</v>
      </c>
      <c r="Y134" s="1">
        <f>Tabela2[[#This Row],[Transporte (R$/saca)]]/Tabela1[[#This Row],[Transporte (R$/saca)_Colheita]]</f>
        <v>0.92721320119793293</v>
      </c>
      <c r="Z134" s="1">
        <f>Tabela2[[#This Row],[Preço (R$/saca) - Paranaguá]]/Tabela2[[#This Row],[Preço (R$/saca)_Época da Colheita]]</f>
        <v>1.0207683803892831</v>
      </c>
    </row>
    <row r="135" spans="1:26" x14ac:dyDescent="0.25">
      <c r="A135" s="7">
        <v>2017</v>
      </c>
      <c r="B135" s="2">
        <v>11</v>
      </c>
      <c r="C135" s="2" t="str">
        <f>CONCATENATE(B135,"-",A135)</f>
        <v>11-2017</v>
      </c>
      <c r="D135" s="13">
        <v>43040</v>
      </c>
      <c r="E135" s="50">
        <v>22.66</v>
      </c>
      <c r="F135" s="50">
        <v>73.87</v>
      </c>
      <c r="G135" s="2">
        <f>F135/E135</f>
        <v>3.2599293909973523</v>
      </c>
      <c r="H135" s="6">
        <f>INDEX('Taxa de Juros (Ano)'!C:C,MATCH(Base!A135,'Taxa de Juros (Ano)'!A:A,0),1)</f>
        <v>7.7083333333333335E-3</v>
      </c>
      <c r="I135" s="9" t="str">
        <f>CONCATENATE($B$1,"-",A135)</f>
        <v>3-2017</v>
      </c>
      <c r="J135" s="2">
        <f t="shared" si="46"/>
        <v>70.006086956521727</v>
      </c>
      <c r="K135" s="1">
        <f>J135*H135*M135</f>
        <v>4.3170420289855063</v>
      </c>
      <c r="L135" s="51">
        <v>18.048299999999998</v>
      </c>
      <c r="M135">
        <f>IF(B135&lt;=$B$1,0,B135-$B$1)</f>
        <v>8</v>
      </c>
      <c r="N135" s="12" t="str">
        <f>CONCATENATE(M135,"-",A135)</f>
        <v>8-2017</v>
      </c>
      <c r="Q135">
        <f>INDEX(SIARMA!D:D,MATCH(Base!M135,SIARMA!A:A,0),1)</f>
        <v>1.8390000000000011</v>
      </c>
      <c r="R135" s="2">
        <f t="shared" si="36"/>
        <v>49.665657971014504</v>
      </c>
      <c r="S135" s="2">
        <f t="shared" si="47"/>
        <v>-0.84335279503103067</v>
      </c>
      <c r="U135" s="17">
        <f t="shared" si="37"/>
        <v>0</v>
      </c>
      <c r="V135" s="17">
        <f t="shared" si="38"/>
        <v>-0.84335279503103067</v>
      </c>
      <c r="W135" s="21">
        <f>Tabela2[[#This Row],[Transporte (R$/saca)]]/Tabela2[[#This Row],[Preço (R$/saca) - Paranaguá]]</f>
        <v>0.24432516583186675</v>
      </c>
      <c r="X135">
        <f>INDEX(L:L,MATCH(Tabela2[[#This Row],[Chave-Colheita]],C:C,0),1)</f>
        <v>19.497076190476189</v>
      </c>
      <c r="Y135" s="1">
        <f>Tabela2[[#This Row],[Transporte (R$/saca)]]/Tabela1[[#This Row],[Transporte (R$/saca)_Colheita]]</f>
        <v>0.92569264353678415</v>
      </c>
      <c r="Z135" s="1">
        <f>Tabela2[[#This Row],[Preço (R$/saca) - Paranaguá]]/Tabela2[[#This Row],[Preço (R$/saca)_Época da Colheita]]</f>
        <v>1.0551939582893415</v>
      </c>
    </row>
    <row r="136" spans="1:26" x14ac:dyDescent="0.25">
      <c r="A136" s="7">
        <v>2017</v>
      </c>
      <c r="B136" s="2">
        <v>12</v>
      </c>
      <c r="C136" s="2" t="str">
        <f>CONCATENATE(B136,"-",A136)</f>
        <v>12-2017</v>
      </c>
      <c r="D136" s="13">
        <v>43070</v>
      </c>
      <c r="E136" s="50">
        <v>22.53</v>
      </c>
      <c r="F136" s="50">
        <v>74.23</v>
      </c>
      <c r="G136" s="2">
        <f>F136/E136</f>
        <v>3.2947181535730139</v>
      </c>
      <c r="H136" s="6">
        <f>INDEX('Taxa de Juros (Ano)'!C:C,MATCH(Base!A136,'Taxa de Juros (Ano)'!A:A,0),1)</f>
        <v>7.7083333333333335E-3</v>
      </c>
      <c r="I136" s="9" t="str">
        <f>CONCATENATE($B$1,"-",A136)</f>
        <v>3-2017</v>
      </c>
      <c r="J136" s="2">
        <f t="shared" si="46"/>
        <v>70.006086956521727</v>
      </c>
      <c r="K136" s="1">
        <f>J136*H136*M136</f>
        <v>4.8566722826086943</v>
      </c>
      <c r="L136" s="51">
        <v>17.899999999999999</v>
      </c>
      <c r="M136">
        <f>IF(B136&lt;=$B$1,0,B136-$B$1)</f>
        <v>9</v>
      </c>
      <c r="N136" s="12" t="str">
        <f>CONCATENATE(M136,"-",A136)</f>
        <v>9-2017</v>
      </c>
      <c r="Q136">
        <f>INDEX(SIARMA!D:D,MATCH(Base!M136,SIARMA!A:A,0),1)</f>
        <v>1.9763333333333346</v>
      </c>
      <c r="R136" s="2">
        <f t="shared" si="36"/>
        <v>49.496994384057984</v>
      </c>
      <c r="S136" s="2">
        <f t="shared" si="47"/>
        <v>-1.0120163819875501</v>
      </c>
      <c r="U136" s="17">
        <f t="shared" si="37"/>
        <v>0</v>
      </c>
      <c r="V136" s="17">
        <f t="shared" si="38"/>
        <v>-1.0120163819875501</v>
      </c>
      <c r="W136" s="21">
        <f>Tabela2[[#This Row],[Transporte (R$/saca)]]/Tabela2[[#This Row],[Preço (R$/saca) - Paranaguá]]</f>
        <v>0.24114239525798192</v>
      </c>
      <c r="X136">
        <f>INDEX(L:L,MATCH(Tabela2[[#This Row],[Chave-Colheita]],C:C,0),1)</f>
        <v>19.497076190476189</v>
      </c>
      <c r="Y136" s="1">
        <f>Tabela2[[#This Row],[Transporte (R$/saca)]]/Tabela1[[#This Row],[Transporte (R$/saca)_Colheita]]</f>
        <v>0.91808637485571709</v>
      </c>
      <c r="Z136" s="1">
        <f>Tabela2[[#This Row],[Preço (R$/saca) - Paranaguá]]/Tabela2[[#This Row],[Preço (R$/saca)_Época da Colheita]]</f>
        <v>1.0603363682661138</v>
      </c>
    </row>
    <row r="137" spans="1:26" x14ac:dyDescent="0.25">
      <c r="U137" s="17"/>
      <c r="V137" s="17"/>
      <c r="W137" s="21"/>
      <c r="Y137" s="1"/>
      <c r="Z137" s="1"/>
    </row>
    <row r="138" spans="1:26" x14ac:dyDescent="0.25">
      <c r="U138" s="17"/>
      <c r="V138" s="17"/>
      <c r="W138" s="21"/>
      <c r="Y138" s="1"/>
      <c r="Z138" s="1"/>
    </row>
    <row r="139" spans="1:26" x14ac:dyDescent="0.25">
      <c r="U139" s="17"/>
      <c r="V139" s="17"/>
      <c r="W139" s="21"/>
      <c r="Y139" s="1"/>
      <c r="Z139" s="1"/>
    </row>
    <row r="140" spans="1:26" x14ac:dyDescent="0.25">
      <c r="U140" s="17"/>
      <c r="V140" s="17"/>
      <c r="W140" s="21"/>
      <c r="Y140" s="1"/>
      <c r="Z140" s="1"/>
    </row>
    <row r="141" spans="1:26" x14ac:dyDescent="0.25">
      <c r="U141" s="17"/>
      <c r="V141" s="17"/>
      <c r="W141" s="21"/>
      <c r="Y141" s="1"/>
      <c r="Z141" s="1"/>
    </row>
    <row r="142" spans="1:26" x14ac:dyDescent="0.25">
      <c r="U142" s="17"/>
      <c r="V142" s="17"/>
      <c r="W142" s="21"/>
      <c r="Y142" s="1"/>
      <c r="Z142" s="1"/>
    </row>
    <row r="143" spans="1:26" x14ac:dyDescent="0.25">
      <c r="U143" s="17"/>
      <c r="V143" s="17"/>
      <c r="W143" s="21"/>
      <c r="Y143" s="1"/>
      <c r="Z143" s="1"/>
    </row>
    <row r="144" spans="1:26" x14ac:dyDescent="0.25">
      <c r="U144" s="17"/>
      <c r="V144" s="17"/>
      <c r="W144" s="21"/>
      <c r="Y144" s="1"/>
      <c r="Z144" s="1"/>
    </row>
    <row r="145" spans="21:26" x14ac:dyDescent="0.25">
      <c r="U145" s="17"/>
      <c r="V145" s="17"/>
      <c r="W145" s="21"/>
      <c r="Y145" s="1"/>
      <c r="Z145" s="1"/>
    </row>
    <row r="146" spans="21:26" x14ac:dyDescent="0.25">
      <c r="U146" s="17"/>
      <c r="V146" s="17"/>
      <c r="W146" s="21"/>
      <c r="Y146" s="1"/>
      <c r="Z146" s="1"/>
    </row>
    <row r="147" spans="21:26" x14ac:dyDescent="0.25">
      <c r="U147" s="17"/>
      <c r="V147" s="17"/>
      <c r="W147" s="21"/>
      <c r="Y147" s="1"/>
      <c r="Z147" s="1"/>
    </row>
    <row r="148" spans="21:26" x14ac:dyDescent="0.25">
      <c r="U148" s="17"/>
      <c r="V148" s="17"/>
      <c r="W148" s="21"/>
      <c r="Y148" s="1"/>
      <c r="Z148" s="1"/>
    </row>
  </sheetData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8" sqref="A8"/>
    </sheetView>
  </sheetViews>
  <sheetFormatPr defaultRowHeight="15" x14ac:dyDescent="0.25"/>
  <sheetData>
    <row r="1" spans="1:1" x14ac:dyDescent="0.25">
      <c r="A1" s="48">
        <v>42767</v>
      </c>
    </row>
    <row r="2" spans="1:1" x14ac:dyDescent="0.25">
      <c r="A2" s="49">
        <v>42795</v>
      </c>
    </row>
    <row r="3" spans="1:1" x14ac:dyDescent="0.25">
      <c r="A3" s="48">
        <v>42826</v>
      </c>
    </row>
    <row r="4" spans="1:1" x14ac:dyDescent="0.25">
      <c r="A4" s="49">
        <v>42856</v>
      </c>
    </row>
    <row r="5" spans="1:1" x14ac:dyDescent="0.25">
      <c r="A5" s="48">
        <v>42887</v>
      </c>
    </row>
    <row r="6" spans="1:1" x14ac:dyDescent="0.25">
      <c r="A6" s="49">
        <v>42917</v>
      </c>
    </row>
    <row r="7" spans="1:1" x14ac:dyDescent="0.25">
      <c r="A7" s="48">
        <v>42948</v>
      </c>
    </row>
    <row r="8" spans="1:1" x14ac:dyDescent="0.25">
      <c r="A8" s="48">
        <v>42979</v>
      </c>
    </row>
    <row r="9" spans="1:1" x14ac:dyDescent="0.25">
      <c r="A9" s="49">
        <v>43009</v>
      </c>
    </row>
    <row r="10" spans="1:1" x14ac:dyDescent="0.25">
      <c r="A10" s="48">
        <v>43040</v>
      </c>
    </row>
    <row r="11" spans="1:1" x14ac:dyDescent="0.25">
      <c r="A11" s="49">
        <v>43070</v>
      </c>
    </row>
    <row r="12" spans="1:1" x14ac:dyDescent="0.25">
      <c r="A12" s="48">
        <v>43101</v>
      </c>
    </row>
    <row r="13" spans="1:1" x14ac:dyDescent="0.25">
      <c r="A13" s="49">
        <v>43132</v>
      </c>
    </row>
    <row r="14" spans="1:1" x14ac:dyDescent="0.25">
      <c r="A14" s="48">
        <v>43160</v>
      </c>
    </row>
    <row r="15" spans="1:1" x14ac:dyDescent="0.25">
      <c r="A15" s="48">
        <v>43191</v>
      </c>
    </row>
    <row r="16" spans="1:1" x14ac:dyDescent="0.25">
      <c r="A16" s="49">
        <v>43221</v>
      </c>
    </row>
    <row r="17" spans="1:1" x14ac:dyDescent="0.25">
      <c r="A17" s="48">
        <v>43252</v>
      </c>
    </row>
    <row r="18" spans="1:1" x14ac:dyDescent="0.25">
      <c r="A18" s="49">
        <v>43282</v>
      </c>
    </row>
    <row r="19" spans="1:1" x14ac:dyDescent="0.25">
      <c r="A19" s="48">
        <v>43313</v>
      </c>
    </row>
    <row r="20" spans="1:1" x14ac:dyDescent="0.25">
      <c r="A20" s="49">
        <v>43344</v>
      </c>
    </row>
    <row r="21" spans="1:1" x14ac:dyDescent="0.25">
      <c r="A21" s="48">
        <v>43374</v>
      </c>
    </row>
    <row r="22" spans="1:1" x14ac:dyDescent="0.25">
      <c r="A22" s="48">
        <v>43405</v>
      </c>
    </row>
    <row r="23" spans="1:1" x14ac:dyDescent="0.25">
      <c r="A23" s="49">
        <v>43435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B18" sqref="B18"/>
    </sheetView>
  </sheetViews>
  <sheetFormatPr defaultRowHeight="15" x14ac:dyDescent="0.25"/>
  <cols>
    <col min="1" max="1" width="25.140625" bestFit="1" customWidth="1"/>
    <col min="2" max="2" width="22.7109375" bestFit="1" customWidth="1"/>
    <col min="3" max="3" width="7.7109375" bestFit="1" customWidth="1"/>
    <col min="4" max="4" width="23.28515625" style="16" bestFit="1" customWidth="1"/>
    <col min="8" max="8" width="10.42578125" bestFit="1" customWidth="1"/>
    <col min="9" max="9" width="9.85546875" bestFit="1" customWidth="1"/>
  </cols>
  <sheetData>
    <row r="1" spans="1:9" x14ac:dyDescent="0.25">
      <c r="A1" s="5" t="s">
        <v>10</v>
      </c>
      <c r="B1" s="5" t="s">
        <v>9</v>
      </c>
      <c r="C1" s="5" t="s">
        <v>21</v>
      </c>
      <c r="D1" s="14" t="s">
        <v>22</v>
      </c>
      <c r="H1" s="5" t="s">
        <v>1</v>
      </c>
      <c r="I1" s="5" t="s">
        <v>27</v>
      </c>
    </row>
    <row r="2" spans="1:9" x14ac:dyDescent="0.25">
      <c r="A2" s="8"/>
      <c r="B2" s="8">
        <v>2007</v>
      </c>
      <c r="C2" s="8" t="str">
        <f>CONCATENATE(A2,"-",B2)</f>
        <v>-2007</v>
      </c>
      <c r="D2" s="15">
        <v>0</v>
      </c>
      <c r="H2" s="8" t="s">
        <v>28</v>
      </c>
      <c r="I2" s="8">
        <v>1</v>
      </c>
    </row>
    <row r="3" spans="1:9" x14ac:dyDescent="0.25">
      <c r="A3" s="8">
        <v>0</v>
      </c>
      <c r="B3" s="8">
        <v>2007</v>
      </c>
      <c r="C3" s="8" t="str">
        <f t="shared" ref="C3:C66" si="0">CONCATENATE(A3,"-",B3)</f>
        <v>0-2007</v>
      </c>
      <c r="D3" s="15">
        <v>0</v>
      </c>
      <c r="H3" s="8" t="s">
        <v>26</v>
      </c>
      <c r="I3" s="8">
        <v>2</v>
      </c>
    </row>
    <row r="4" spans="1:9" x14ac:dyDescent="0.25">
      <c r="A4" s="8">
        <v>1</v>
      </c>
      <c r="B4" s="8">
        <v>2007</v>
      </c>
      <c r="C4" s="8" t="str">
        <f t="shared" si="0"/>
        <v>1-2007</v>
      </c>
      <c r="D4" s="15">
        <v>0.92800000000000016</v>
      </c>
      <c r="H4" s="8" t="s">
        <v>29</v>
      </c>
      <c r="I4" s="8">
        <v>3</v>
      </c>
    </row>
    <row r="5" spans="1:9" x14ac:dyDescent="0.25">
      <c r="A5" s="8">
        <v>2</v>
      </c>
      <c r="B5" s="8">
        <v>2007</v>
      </c>
      <c r="C5" s="8" t="str">
        <f t="shared" si="0"/>
        <v>2-2007</v>
      </c>
      <c r="D5" s="15">
        <v>1.0149999999999999</v>
      </c>
      <c r="H5" s="8" t="s">
        <v>30</v>
      </c>
      <c r="I5" s="8">
        <v>4</v>
      </c>
    </row>
    <row r="6" spans="1:9" x14ac:dyDescent="0.25">
      <c r="A6" s="8">
        <v>3</v>
      </c>
      <c r="B6" s="8">
        <v>2007</v>
      </c>
      <c r="C6" s="8" t="str">
        <f t="shared" si="0"/>
        <v>3-2007</v>
      </c>
      <c r="D6" s="15">
        <v>1.1523333333333334</v>
      </c>
      <c r="H6" s="8" t="s">
        <v>31</v>
      </c>
      <c r="I6" s="8">
        <v>5</v>
      </c>
    </row>
    <row r="7" spans="1:9" x14ac:dyDescent="0.25">
      <c r="A7" s="8">
        <v>4</v>
      </c>
      <c r="B7" s="8">
        <v>2007</v>
      </c>
      <c r="C7" s="8" t="str">
        <f t="shared" si="0"/>
        <v>4-2007</v>
      </c>
      <c r="D7" s="15">
        <v>1.289666666666667</v>
      </c>
      <c r="H7" s="8" t="s">
        <v>32</v>
      </c>
      <c r="I7" s="8">
        <v>6</v>
      </c>
    </row>
    <row r="8" spans="1:9" x14ac:dyDescent="0.25">
      <c r="A8" s="8">
        <v>5</v>
      </c>
      <c r="B8" s="8">
        <v>2007</v>
      </c>
      <c r="C8" s="8" t="str">
        <f t="shared" si="0"/>
        <v>5-2007</v>
      </c>
      <c r="D8" s="15">
        <v>1.4270000000000005</v>
      </c>
      <c r="H8" s="8" t="s">
        <v>33</v>
      </c>
      <c r="I8" s="8">
        <v>7</v>
      </c>
    </row>
    <row r="9" spans="1:9" x14ac:dyDescent="0.25">
      <c r="A9" s="8">
        <v>6</v>
      </c>
      <c r="B9" s="8">
        <v>2007</v>
      </c>
      <c r="C9" s="8" t="str">
        <f t="shared" si="0"/>
        <v>6-2007</v>
      </c>
      <c r="D9" s="15">
        <v>1.5643333333333338</v>
      </c>
      <c r="H9" s="8" t="s">
        <v>34</v>
      </c>
      <c r="I9" s="8">
        <v>8</v>
      </c>
    </row>
    <row r="10" spans="1:9" x14ac:dyDescent="0.25">
      <c r="A10" s="8">
        <v>7</v>
      </c>
      <c r="B10" s="8">
        <v>2007</v>
      </c>
      <c r="C10" s="8" t="str">
        <f t="shared" si="0"/>
        <v>7-2007</v>
      </c>
      <c r="D10" s="15">
        <v>1.7016666666666673</v>
      </c>
      <c r="H10" s="8" t="s">
        <v>35</v>
      </c>
      <c r="I10" s="8">
        <v>9</v>
      </c>
    </row>
    <row r="11" spans="1:9" x14ac:dyDescent="0.25">
      <c r="A11" s="8">
        <v>8</v>
      </c>
      <c r="B11" s="8">
        <v>2007</v>
      </c>
      <c r="C11" s="8" t="str">
        <f t="shared" si="0"/>
        <v>8-2007</v>
      </c>
      <c r="D11" s="15">
        <v>1.8390000000000011</v>
      </c>
      <c r="H11" s="8" t="s">
        <v>36</v>
      </c>
      <c r="I11" s="8">
        <v>10</v>
      </c>
    </row>
    <row r="12" spans="1:9" x14ac:dyDescent="0.25">
      <c r="A12" s="8">
        <v>9</v>
      </c>
      <c r="B12" s="8">
        <v>2007</v>
      </c>
      <c r="C12" s="8" t="str">
        <f t="shared" si="0"/>
        <v>9-2007</v>
      </c>
      <c r="D12" s="15">
        <v>1.9763333333333346</v>
      </c>
      <c r="H12" s="8" t="s">
        <v>37</v>
      </c>
      <c r="I12" s="8">
        <v>11</v>
      </c>
    </row>
    <row r="13" spans="1:9" x14ac:dyDescent="0.25">
      <c r="A13" s="8">
        <v>10</v>
      </c>
      <c r="B13" s="8">
        <v>2007</v>
      </c>
      <c r="C13" s="8" t="str">
        <f t="shared" si="0"/>
        <v>10-2007</v>
      </c>
      <c r="D13" s="15">
        <v>2.1136666666666679</v>
      </c>
      <c r="H13" s="8" t="s">
        <v>38</v>
      </c>
      <c r="I13" s="8">
        <v>12</v>
      </c>
    </row>
    <row r="14" spans="1:9" x14ac:dyDescent="0.25">
      <c r="A14" s="8"/>
      <c r="B14" s="8">
        <v>2008</v>
      </c>
      <c r="C14" s="8" t="str">
        <f t="shared" si="0"/>
        <v>-2008</v>
      </c>
      <c r="D14" s="15">
        <v>0</v>
      </c>
    </row>
    <row r="15" spans="1:9" x14ac:dyDescent="0.25">
      <c r="A15" s="8">
        <v>0</v>
      </c>
      <c r="B15" s="8">
        <v>2008</v>
      </c>
      <c r="C15" s="8" t="str">
        <f t="shared" si="0"/>
        <v>0-2008</v>
      </c>
      <c r="D15" s="15">
        <v>0</v>
      </c>
    </row>
    <row r="16" spans="1:9" x14ac:dyDescent="0.25">
      <c r="A16" s="8">
        <v>1</v>
      </c>
      <c r="B16" s="8">
        <v>2008</v>
      </c>
      <c r="C16" s="8" t="str">
        <f t="shared" si="0"/>
        <v>1-2008</v>
      </c>
      <c r="D16" s="15">
        <v>1.010488888888889</v>
      </c>
    </row>
    <row r="17" spans="1:4" x14ac:dyDescent="0.25">
      <c r="A17" s="8">
        <v>2</v>
      </c>
      <c r="B17" s="8">
        <v>2008</v>
      </c>
      <c r="C17" s="8" t="str">
        <f t="shared" si="0"/>
        <v>2-2008</v>
      </c>
      <c r="D17" s="15">
        <v>1.1052222222222221</v>
      </c>
    </row>
    <row r="18" spans="1:4" x14ac:dyDescent="0.25">
      <c r="A18" s="8">
        <v>3</v>
      </c>
      <c r="B18" s="8">
        <v>2008</v>
      </c>
      <c r="C18" s="8" t="str">
        <f t="shared" si="0"/>
        <v>3-2008</v>
      </c>
      <c r="D18" s="15">
        <v>1.2547629629629631</v>
      </c>
    </row>
    <row r="19" spans="1:4" x14ac:dyDescent="0.25">
      <c r="A19" s="8">
        <v>4</v>
      </c>
      <c r="B19" s="8">
        <v>2008</v>
      </c>
      <c r="C19" s="8" t="str">
        <f t="shared" si="0"/>
        <v>4-2008</v>
      </c>
      <c r="D19" s="15">
        <v>1.4043037037037041</v>
      </c>
    </row>
    <row r="20" spans="1:4" x14ac:dyDescent="0.25">
      <c r="A20" s="8">
        <v>5</v>
      </c>
      <c r="B20" s="8">
        <v>2008</v>
      </c>
      <c r="C20" s="8" t="str">
        <f t="shared" si="0"/>
        <v>5-2008</v>
      </c>
      <c r="D20" s="15">
        <v>1.553844444444445</v>
      </c>
    </row>
    <row r="21" spans="1:4" x14ac:dyDescent="0.25">
      <c r="A21" s="8">
        <v>6</v>
      </c>
      <c r="B21" s="8">
        <v>2008</v>
      </c>
      <c r="C21" s="8" t="str">
        <f t="shared" si="0"/>
        <v>6-2008</v>
      </c>
      <c r="D21" s="15">
        <v>1.7033851851851858</v>
      </c>
    </row>
    <row r="22" spans="1:4" x14ac:dyDescent="0.25">
      <c r="A22" s="8">
        <v>7</v>
      </c>
      <c r="B22" s="8">
        <v>2008</v>
      </c>
      <c r="C22" s="8" t="str">
        <f t="shared" si="0"/>
        <v>7-2008</v>
      </c>
      <c r="D22" s="15">
        <v>1.8529259259259268</v>
      </c>
    </row>
    <row r="23" spans="1:4" x14ac:dyDescent="0.25">
      <c r="A23" s="8">
        <v>8</v>
      </c>
      <c r="B23" s="8">
        <v>2008</v>
      </c>
      <c r="C23" s="8" t="str">
        <f t="shared" si="0"/>
        <v>8-2008</v>
      </c>
      <c r="D23" s="15">
        <v>2.0024666666666677</v>
      </c>
    </row>
    <row r="24" spans="1:4" x14ac:dyDescent="0.25">
      <c r="A24" s="8">
        <v>9</v>
      </c>
      <c r="B24" s="8">
        <v>2008</v>
      </c>
      <c r="C24" s="8" t="str">
        <f t="shared" si="0"/>
        <v>9-2008</v>
      </c>
      <c r="D24" s="15">
        <v>2.1520074074074089</v>
      </c>
    </row>
    <row r="25" spans="1:4" x14ac:dyDescent="0.25">
      <c r="A25" s="8">
        <v>10</v>
      </c>
      <c r="B25" s="8">
        <v>2008</v>
      </c>
      <c r="C25" s="8" t="str">
        <f t="shared" si="0"/>
        <v>10-2008</v>
      </c>
      <c r="D25" s="15">
        <v>2.3015481481481497</v>
      </c>
    </row>
    <row r="26" spans="1:4" x14ac:dyDescent="0.25">
      <c r="A26" s="8"/>
      <c r="B26" s="8">
        <v>2009</v>
      </c>
      <c r="C26" s="8" t="str">
        <f t="shared" si="0"/>
        <v>-2009</v>
      </c>
      <c r="D26" s="15">
        <v>0</v>
      </c>
    </row>
    <row r="27" spans="1:4" x14ac:dyDescent="0.25">
      <c r="A27" s="8">
        <v>0</v>
      </c>
      <c r="B27" s="8">
        <v>2009</v>
      </c>
      <c r="C27" s="8" t="str">
        <f t="shared" si="0"/>
        <v>0-2009</v>
      </c>
      <c r="D27" s="15">
        <v>0</v>
      </c>
    </row>
    <row r="28" spans="1:4" x14ac:dyDescent="0.25">
      <c r="A28" s="8">
        <v>1</v>
      </c>
      <c r="B28" s="8">
        <v>2009</v>
      </c>
      <c r="C28" s="8" t="str">
        <f t="shared" si="0"/>
        <v>1-2009</v>
      </c>
      <c r="D28" s="15">
        <v>1.0929777777777778</v>
      </c>
    </row>
    <row r="29" spans="1:4" x14ac:dyDescent="0.25">
      <c r="A29" s="8">
        <v>2</v>
      </c>
      <c r="B29" s="8">
        <v>2009</v>
      </c>
      <c r="C29" s="8" t="str">
        <f t="shared" si="0"/>
        <v>2-2009</v>
      </c>
      <c r="D29" s="15">
        <v>1.1954444444444443</v>
      </c>
    </row>
    <row r="30" spans="1:4" x14ac:dyDescent="0.25">
      <c r="A30" s="8">
        <v>3</v>
      </c>
      <c r="B30" s="8">
        <v>2009</v>
      </c>
      <c r="C30" s="8" t="str">
        <f t="shared" si="0"/>
        <v>3-2009</v>
      </c>
      <c r="D30" s="15">
        <v>1.3571925925925927</v>
      </c>
    </row>
    <row r="31" spans="1:4" x14ac:dyDescent="0.25">
      <c r="A31" s="8">
        <v>4</v>
      </c>
      <c r="B31" s="8">
        <v>2009</v>
      </c>
      <c r="C31" s="8" t="str">
        <f t="shared" si="0"/>
        <v>4-2009</v>
      </c>
      <c r="D31" s="15">
        <v>1.5189407407407411</v>
      </c>
    </row>
    <row r="32" spans="1:4" x14ac:dyDescent="0.25">
      <c r="A32" s="8">
        <v>5</v>
      </c>
      <c r="B32" s="8">
        <v>2009</v>
      </c>
      <c r="C32" s="8" t="str">
        <f t="shared" si="0"/>
        <v>5-2009</v>
      </c>
      <c r="D32" s="15">
        <v>1.6806888888888896</v>
      </c>
    </row>
    <row r="33" spans="1:4" x14ac:dyDescent="0.25">
      <c r="A33" s="8">
        <v>6</v>
      </c>
      <c r="B33" s="8">
        <v>2009</v>
      </c>
      <c r="C33" s="8" t="str">
        <f t="shared" si="0"/>
        <v>6-2009</v>
      </c>
      <c r="D33" s="15">
        <v>1.8424370370370378</v>
      </c>
    </row>
    <row r="34" spans="1:4" x14ac:dyDescent="0.25">
      <c r="A34" s="8">
        <v>7</v>
      </c>
      <c r="B34" s="8">
        <v>2009</v>
      </c>
      <c r="C34" s="8" t="str">
        <f t="shared" si="0"/>
        <v>7-2009</v>
      </c>
      <c r="D34" s="15">
        <v>2.004185185185186</v>
      </c>
    </row>
    <row r="35" spans="1:4" x14ac:dyDescent="0.25">
      <c r="A35" s="8">
        <v>8</v>
      </c>
      <c r="B35" s="8">
        <v>2009</v>
      </c>
      <c r="C35" s="8" t="str">
        <f t="shared" si="0"/>
        <v>8-2009</v>
      </c>
      <c r="D35" s="15">
        <v>2.1659333333333346</v>
      </c>
    </row>
    <row r="36" spans="1:4" x14ac:dyDescent="0.25">
      <c r="A36" s="8">
        <v>9</v>
      </c>
      <c r="B36" s="8">
        <v>2009</v>
      </c>
      <c r="C36" s="8" t="str">
        <f t="shared" si="0"/>
        <v>9-2009</v>
      </c>
      <c r="D36" s="15">
        <v>2.3276814814814832</v>
      </c>
    </row>
    <row r="37" spans="1:4" x14ac:dyDescent="0.25">
      <c r="A37" s="8">
        <v>10</v>
      </c>
      <c r="B37" s="8">
        <v>2009</v>
      </c>
      <c r="C37" s="8" t="str">
        <f t="shared" si="0"/>
        <v>10-2009</v>
      </c>
      <c r="D37" s="15">
        <v>2.4894296296296314</v>
      </c>
    </row>
    <row r="38" spans="1:4" x14ac:dyDescent="0.25">
      <c r="A38" s="8"/>
      <c r="B38" s="8">
        <v>2010</v>
      </c>
      <c r="C38" s="8" t="str">
        <f t="shared" si="0"/>
        <v>-2010</v>
      </c>
      <c r="D38" s="15">
        <v>0</v>
      </c>
    </row>
    <row r="39" spans="1:4" x14ac:dyDescent="0.25">
      <c r="A39" s="8">
        <v>0</v>
      </c>
      <c r="B39" s="8">
        <v>2010</v>
      </c>
      <c r="C39" s="8" t="str">
        <f t="shared" si="0"/>
        <v>0-2010</v>
      </c>
      <c r="D39" s="15">
        <v>0</v>
      </c>
    </row>
    <row r="40" spans="1:4" x14ac:dyDescent="0.25">
      <c r="A40" s="8">
        <v>1</v>
      </c>
      <c r="B40" s="8">
        <v>2010</v>
      </c>
      <c r="C40" s="8" t="str">
        <f t="shared" si="0"/>
        <v>1-2010</v>
      </c>
      <c r="D40" s="15">
        <v>1.1754666666666667</v>
      </c>
    </row>
    <row r="41" spans="1:4" x14ac:dyDescent="0.25">
      <c r="A41" s="8">
        <v>2</v>
      </c>
      <c r="B41" s="8">
        <v>2010</v>
      </c>
      <c r="C41" s="8" t="str">
        <f t="shared" si="0"/>
        <v>2-2010</v>
      </c>
      <c r="D41" s="15">
        <v>1.2856666666666665</v>
      </c>
    </row>
    <row r="42" spans="1:4" x14ac:dyDescent="0.25">
      <c r="A42" s="8">
        <v>3</v>
      </c>
      <c r="B42" s="8">
        <v>2010</v>
      </c>
      <c r="C42" s="8" t="str">
        <f t="shared" si="0"/>
        <v>3-2010</v>
      </c>
      <c r="D42" s="15">
        <v>1.4596222222222224</v>
      </c>
    </row>
    <row r="43" spans="1:4" x14ac:dyDescent="0.25">
      <c r="A43" s="8">
        <v>4</v>
      </c>
      <c r="B43" s="8">
        <v>2010</v>
      </c>
      <c r="C43" s="8" t="str">
        <f t="shared" si="0"/>
        <v>4-2010</v>
      </c>
      <c r="D43" s="15">
        <v>1.6335777777777782</v>
      </c>
    </row>
    <row r="44" spans="1:4" x14ac:dyDescent="0.25">
      <c r="A44" s="8">
        <v>5</v>
      </c>
      <c r="B44" s="8">
        <v>2010</v>
      </c>
      <c r="C44" s="8" t="str">
        <f t="shared" si="0"/>
        <v>5-2010</v>
      </c>
      <c r="D44" s="15">
        <v>1.8075333333333341</v>
      </c>
    </row>
    <row r="45" spans="1:4" x14ac:dyDescent="0.25">
      <c r="A45" s="8">
        <v>6</v>
      </c>
      <c r="B45" s="8">
        <v>2010</v>
      </c>
      <c r="C45" s="8" t="str">
        <f t="shared" si="0"/>
        <v>6-2010</v>
      </c>
      <c r="D45" s="15">
        <v>1.9814888888888897</v>
      </c>
    </row>
    <row r="46" spans="1:4" x14ac:dyDescent="0.25">
      <c r="A46" s="8">
        <v>7</v>
      </c>
      <c r="B46" s="8">
        <v>2010</v>
      </c>
      <c r="C46" s="8" t="str">
        <f t="shared" si="0"/>
        <v>7-2010</v>
      </c>
      <c r="D46" s="15">
        <v>2.1554444444444454</v>
      </c>
    </row>
    <row r="47" spans="1:4" x14ac:dyDescent="0.25">
      <c r="A47" s="8">
        <v>8</v>
      </c>
      <c r="B47" s="8">
        <v>2010</v>
      </c>
      <c r="C47" s="8" t="str">
        <f t="shared" si="0"/>
        <v>8-2010</v>
      </c>
      <c r="D47" s="15">
        <v>2.3294000000000015</v>
      </c>
    </row>
    <row r="48" spans="1:4" x14ac:dyDescent="0.25">
      <c r="A48" s="8">
        <v>9</v>
      </c>
      <c r="B48" s="8">
        <v>2010</v>
      </c>
      <c r="C48" s="8" t="str">
        <f t="shared" si="0"/>
        <v>9-2010</v>
      </c>
      <c r="D48" s="15">
        <v>2.5033555555555576</v>
      </c>
    </row>
    <row r="49" spans="1:4" x14ac:dyDescent="0.25">
      <c r="A49" s="8">
        <v>10</v>
      </c>
      <c r="B49" s="8">
        <v>2010</v>
      </c>
      <c r="C49" s="8" t="str">
        <f t="shared" si="0"/>
        <v>10-2010</v>
      </c>
      <c r="D49" s="15">
        <v>2.6773111111111132</v>
      </c>
    </row>
    <row r="50" spans="1:4" x14ac:dyDescent="0.25">
      <c r="A50" s="8"/>
      <c r="B50" s="8">
        <v>2011</v>
      </c>
      <c r="C50" s="8" t="str">
        <f t="shared" si="0"/>
        <v>-2011</v>
      </c>
      <c r="D50" s="15">
        <v>0</v>
      </c>
    </row>
    <row r="51" spans="1:4" x14ac:dyDescent="0.25">
      <c r="A51" s="8">
        <v>0</v>
      </c>
      <c r="B51" s="8">
        <v>2011</v>
      </c>
      <c r="C51" s="8" t="str">
        <f t="shared" si="0"/>
        <v>0-2011</v>
      </c>
      <c r="D51" s="15">
        <v>0</v>
      </c>
    </row>
    <row r="52" spans="1:4" x14ac:dyDescent="0.25">
      <c r="A52" s="8">
        <v>1</v>
      </c>
      <c r="B52" s="8">
        <v>2011</v>
      </c>
      <c r="C52" s="8" t="str">
        <f t="shared" si="0"/>
        <v>1-2011</v>
      </c>
      <c r="D52" s="15">
        <v>1.2579555555555555</v>
      </c>
    </row>
    <row r="53" spans="1:4" x14ac:dyDescent="0.25">
      <c r="A53" s="8">
        <v>2</v>
      </c>
      <c r="B53" s="8">
        <v>2011</v>
      </c>
      <c r="C53" s="8" t="str">
        <f t="shared" si="0"/>
        <v>2-2011</v>
      </c>
      <c r="D53" s="15">
        <v>1.3758888888888887</v>
      </c>
    </row>
    <row r="54" spans="1:4" x14ac:dyDescent="0.25">
      <c r="A54" s="8">
        <v>3</v>
      </c>
      <c r="B54" s="8">
        <v>2011</v>
      </c>
      <c r="C54" s="8" t="str">
        <f t="shared" si="0"/>
        <v>3-2011</v>
      </c>
      <c r="D54" s="15">
        <v>1.562051851851852</v>
      </c>
    </row>
    <row r="55" spans="1:4" x14ac:dyDescent="0.25">
      <c r="A55" s="8">
        <v>4</v>
      </c>
      <c r="B55" s="8">
        <v>2011</v>
      </c>
      <c r="C55" s="8" t="str">
        <f t="shared" si="0"/>
        <v>4-2011</v>
      </c>
      <c r="D55" s="15">
        <v>1.7482148148148153</v>
      </c>
    </row>
    <row r="56" spans="1:4" x14ac:dyDescent="0.25">
      <c r="A56" s="8">
        <v>5</v>
      </c>
      <c r="B56" s="8">
        <v>2011</v>
      </c>
      <c r="C56" s="8" t="str">
        <f t="shared" si="0"/>
        <v>5-2011</v>
      </c>
      <c r="D56" s="15">
        <v>1.9343777777777786</v>
      </c>
    </row>
    <row r="57" spans="1:4" x14ac:dyDescent="0.25">
      <c r="A57" s="8">
        <v>6</v>
      </c>
      <c r="B57" s="8">
        <v>2011</v>
      </c>
      <c r="C57" s="8" t="str">
        <f t="shared" si="0"/>
        <v>6-2011</v>
      </c>
      <c r="D57" s="15">
        <v>2.1205407407407417</v>
      </c>
    </row>
    <row r="58" spans="1:4" x14ac:dyDescent="0.25">
      <c r="A58" s="8">
        <v>7</v>
      </c>
      <c r="B58" s="8">
        <v>2011</v>
      </c>
      <c r="C58" s="8" t="str">
        <f t="shared" si="0"/>
        <v>7-2011</v>
      </c>
      <c r="D58" s="15">
        <v>2.3067037037037048</v>
      </c>
    </row>
    <row r="59" spans="1:4" x14ac:dyDescent="0.25">
      <c r="A59" s="8">
        <v>8</v>
      </c>
      <c r="B59" s="8">
        <v>2011</v>
      </c>
      <c r="C59" s="8" t="str">
        <f t="shared" si="0"/>
        <v>8-2011</v>
      </c>
      <c r="D59" s="15">
        <v>2.4928666666666683</v>
      </c>
    </row>
    <row r="60" spans="1:4" x14ac:dyDescent="0.25">
      <c r="A60" s="8">
        <v>9</v>
      </c>
      <c r="B60" s="8">
        <v>2011</v>
      </c>
      <c r="C60" s="8" t="str">
        <f t="shared" si="0"/>
        <v>9-2011</v>
      </c>
      <c r="D60" s="15">
        <v>2.6790296296296319</v>
      </c>
    </row>
    <row r="61" spans="1:4" x14ac:dyDescent="0.25">
      <c r="A61" s="8">
        <v>10</v>
      </c>
      <c r="B61" s="8">
        <v>2011</v>
      </c>
      <c r="C61" s="8" t="str">
        <f t="shared" si="0"/>
        <v>10-2011</v>
      </c>
      <c r="D61" s="15">
        <v>2.865192592592595</v>
      </c>
    </row>
    <row r="62" spans="1:4" x14ac:dyDescent="0.25">
      <c r="A62" s="8"/>
      <c r="B62" s="8">
        <v>2012</v>
      </c>
      <c r="C62" s="8" t="str">
        <f t="shared" si="0"/>
        <v>-2012</v>
      </c>
      <c r="D62" s="15">
        <v>0</v>
      </c>
    </row>
    <row r="63" spans="1:4" x14ac:dyDescent="0.25">
      <c r="A63" s="8">
        <v>0</v>
      </c>
      <c r="B63" s="8">
        <v>2012</v>
      </c>
      <c r="C63" s="8" t="str">
        <f t="shared" si="0"/>
        <v>0-2012</v>
      </c>
      <c r="D63" s="15">
        <v>0</v>
      </c>
    </row>
    <row r="64" spans="1:4" x14ac:dyDescent="0.25">
      <c r="A64" s="8">
        <v>1</v>
      </c>
      <c r="B64" s="8">
        <v>2012</v>
      </c>
      <c r="C64" s="8" t="str">
        <f t="shared" si="0"/>
        <v>1-2012</v>
      </c>
      <c r="D64" s="15">
        <v>1.3404444444444443</v>
      </c>
    </row>
    <row r="65" spans="1:4" x14ac:dyDescent="0.25">
      <c r="A65" s="8">
        <v>2</v>
      </c>
      <c r="B65" s="8">
        <v>2012</v>
      </c>
      <c r="C65" s="8" t="str">
        <f t="shared" si="0"/>
        <v>2-2012</v>
      </c>
      <c r="D65" s="15">
        <v>1.4661111111111109</v>
      </c>
    </row>
    <row r="66" spans="1:4" x14ac:dyDescent="0.25">
      <c r="A66" s="8">
        <v>3</v>
      </c>
      <c r="B66" s="8">
        <v>2012</v>
      </c>
      <c r="C66" s="8" t="str">
        <f t="shared" si="0"/>
        <v>3-2012</v>
      </c>
      <c r="D66" s="15">
        <v>1.6644814814814817</v>
      </c>
    </row>
    <row r="67" spans="1:4" x14ac:dyDescent="0.25">
      <c r="A67" s="8">
        <v>4</v>
      </c>
      <c r="B67" s="8">
        <v>2012</v>
      </c>
      <c r="C67" s="8" t="str">
        <f t="shared" ref="C67:C121" si="1">CONCATENATE(A67,"-",B67)</f>
        <v>4-2012</v>
      </c>
      <c r="D67" s="15">
        <v>1.8628518518518524</v>
      </c>
    </row>
    <row r="68" spans="1:4" x14ac:dyDescent="0.25">
      <c r="A68" s="8">
        <v>5</v>
      </c>
      <c r="B68" s="8">
        <v>2012</v>
      </c>
      <c r="C68" s="8" t="str">
        <f t="shared" si="1"/>
        <v>5-2012</v>
      </c>
      <c r="D68" s="15">
        <v>2.0612222222222232</v>
      </c>
    </row>
    <row r="69" spans="1:4" x14ac:dyDescent="0.25">
      <c r="A69" s="8">
        <v>6</v>
      </c>
      <c r="B69" s="8">
        <v>2012</v>
      </c>
      <c r="C69" s="8" t="str">
        <f t="shared" si="1"/>
        <v>6-2012</v>
      </c>
      <c r="D69" s="15">
        <v>2.2595925925925937</v>
      </c>
    </row>
    <row r="70" spans="1:4" x14ac:dyDescent="0.25">
      <c r="A70" s="8">
        <v>7</v>
      </c>
      <c r="B70" s="8">
        <v>2012</v>
      </c>
      <c r="C70" s="8" t="str">
        <f t="shared" si="1"/>
        <v>7-2012</v>
      </c>
      <c r="D70" s="15">
        <v>2.4579629629629642</v>
      </c>
    </row>
    <row r="71" spans="1:4" x14ac:dyDescent="0.25">
      <c r="A71" s="8">
        <v>8</v>
      </c>
      <c r="B71" s="8">
        <v>2012</v>
      </c>
      <c r="C71" s="8" t="str">
        <f t="shared" si="1"/>
        <v>8-2012</v>
      </c>
      <c r="D71" s="15">
        <v>2.6563333333333352</v>
      </c>
    </row>
    <row r="72" spans="1:4" x14ac:dyDescent="0.25">
      <c r="A72" s="8">
        <v>9</v>
      </c>
      <c r="B72" s="8">
        <v>2012</v>
      </c>
      <c r="C72" s="8" t="str">
        <f t="shared" si="1"/>
        <v>9-2012</v>
      </c>
      <c r="D72" s="15">
        <v>2.8547037037037062</v>
      </c>
    </row>
    <row r="73" spans="1:4" x14ac:dyDescent="0.25">
      <c r="A73" s="8">
        <v>10</v>
      </c>
      <c r="B73" s="8">
        <v>2012</v>
      </c>
      <c r="C73" s="8" t="str">
        <f t="shared" si="1"/>
        <v>10-2012</v>
      </c>
      <c r="D73" s="15">
        <v>3.0530740740740767</v>
      </c>
    </row>
    <row r="74" spans="1:4" x14ac:dyDescent="0.25">
      <c r="A74" s="8"/>
      <c r="B74" s="8">
        <v>2013</v>
      </c>
      <c r="C74" s="8" t="str">
        <f t="shared" si="1"/>
        <v>-2013</v>
      </c>
      <c r="D74" s="15">
        <v>0</v>
      </c>
    </row>
    <row r="75" spans="1:4" x14ac:dyDescent="0.25">
      <c r="A75" s="8">
        <v>0</v>
      </c>
      <c r="B75" s="8">
        <v>2013</v>
      </c>
      <c r="C75" s="8" t="str">
        <f t="shared" si="1"/>
        <v>0-2013</v>
      </c>
      <c r="D75" s="15">
        <v>0</v>
      </c>
    </row>
    <row r="76" spans="1:4" x14ac:dyDescent="0.25">
      <c r="A76" s="8">
        <v>1</v>
      </c>
      <c r="B76" s="8">
        <v>2013</v>
      </c>
      <c r="C76" s="8" t="str">
        <f t="shared" si="1"/>
        <v>1-2013</v>
      </c>
      <c r="D76" s="15">
        <v>1.4229333333333332</v>
      </c>
    </row>
    <row r="77" spans="1:4" x14ac:dyDescent="0.25">
      <c r="A77" s="8">
        <v>2</v>
      </c>
      <c r="B77" s="8">
        <v>2013</v>
      </c>
      <c r="C77" s="8" t="str">
        <f t="shared" si="1"/>
        <v>2-2013</v>
      </c>
      <c r="D77" s="15">
        <v>1.5563333333333331</v>
      </c>
    </row>
    <row r="78" spans="1:4" x14ac:dyDescent="0.25">
      <c r="A78" s="8">
        <v>3</v>
      </c>
      <c r="B78" s="8">
        <v>2013</v>
      </c>
      <c r="C78" s="8" t="str">
        <f t="shared" si="1"/>
        <v>3-2013</v>
      </c>
      <c r="D78" s="15">
        <v>1.7669111111111113</v>
      </c>
    </row>
    <row r="79" spans="1:4" x14ac:dyDescent="0.25">
      <c r="A79" s="8">
        <v>4</v>
      </c>
      <c r="B79" s="8">
        <v>2013</v>
      </c>
      <c r="C79" s="8" t="str">
        <f t="shared" si="1"/>
        <v>4-2013</v>
      </c>
      <c r="D79" s="15">
        <v>1.9774888888888895</v>
      </c>
    </row>
    <row r="80" spans="1:4" x14ac:dyDescent="0.25">
      <c r="A80" s="8">
        <v>5</v>
      </c>
      <c r="B80" s="8">
        <v>2013</v>
      </c>
      <c r="C80" s="8" t="str">
        <f t="shared" si="1"/>
        <v>5-2013</v>
      </c>
      <c r="D80" s="15">
        <v>2.1880666666666677</v>
      </c>
    </row>
    <row r="81" spans="1:4" x14ac:dyDescent="0.25">
      <c r="A81" s="8">
        <v>6</v>
      </c>
      <c r="B81" s="8">
        <v>2013</v>
      </c>
      <c r="C81" s="8" t="str">
        <f t="shared" si="1"/>
        <v>6-2013</v>
      </c>
      <c r="D81" s="15">
        <v>2.3986444444444457</v>
      </c>
    </row>
    <row r="82" spans="1:4" x14ac:dyDescent="0.25">
      <c r="A82" s="8">
        <v>7</v>
      </c>
      <c r="B82" s="8">
        <v>2013</v>
      </c>
      <c r="C82" s="8" t="str">
        <f t="shared" si="1"/>
        <v>7-2013</v>
      </c>
      <c r="D82" s="15">
        <v>2.6092222222222237</v>
      </c>
    </row>
    <row r="83" spans="1:4" x14ac:dyDescent="0.25">
      <c r="A83" s="8">
        <v>8</v>
      </c>
      <c r="B83" s="8">
        <v>2013</v>
      </c>
      <c r="C83" s="8" t="str">
        <f t="shared" si="1"/>
        <v>8-2013</v>
      </c>
      <c r="D83" s="15">
        <v>2.8198000000000021</v>
      </c>
    </row>
    <row r="84" spans="1:4" x14ac:dyDescent="0.25">
      <c r="A84" s="8">
        <v>9</v>
      </c>
      <c r="B84" s="8">
        <v>2013</v>
      </c>
      <c r="C84" s="8" t="str">
        <f t="shared" si="1"/>
        <v>9-2013</v>
      </c>
      <c r="D84" s="15">
        <v>3.0303777777777805</v>
      </c>
    </row>
    <row r="85" spans="1:4" x14ac:dyDescent="0.25">
      <c r="A85" s="8">
        <v>10</v>
      </c>
      <c r="B85" s="8">
        <v>2013</v>
      </c>
      <c r="C85" s="8" t="str">
        <f t="shared" si="1"/>
        <v>10-2013</v>
      </c>
      <c r="D85" s="15">
        <v>3.2409555555555585</v>
      </c>
    </row>
    <row r="86" spans="1:4" x14ac:dyDescent="0.25">
      <c r="A86" s="8"/>
      <c r="B86" s="8">
        <v>2014</v>
      </c>
      <c r="C86" s="8" t="str">
        <f t="shared" si="1"/>
        <v>-2014</v>
      </c>
      <c r="D86" s="15">
        <v>0</v>
      </c>
    </row>
    <row r="87" spans="1:4" x14ac:dyDescent="0.25">
      <c r="A87" s="8">
        <v>0</v>
      </c>
      <c r="B87" s="8">
        <v>2014</v>
      </c>
      <c r="C87" s="8" t="str">
        <f t="shared" si="1"/>
        <v>0-2014</v>
      </c>
      <c r="D87" s="15">
        <v>0</v>
      </c>
    </row>
    <row r="88" spans="1:4" x14ac:dyDescent="0.25">
      <c r="A88" s="8">
        <v>1</v>
      </c>
      <c r="B88" s="8">
        <v>2014</v>
      </c>
      <c r="C88" s="8" t="str">
        <f t="shared" si="1"/>
        <v>1-2014</v>
      </c>
      <c r="D88" s="15">
        <v>1.505422222222222</v>
      </c>
    </row>
    <row r="89" spans="1:4" x14ac:dyDescent="0.25">
      <c r="A89" s="8">
        <v>2</v>
      </c>
      <c r="B89" s="8">
        <v>2014</v>
      </c>
      <c r="C89" s="8" t="str">
        <f t="shared" si="1"/>
        <v>2-2014</v>
      </c>
      <c r="D89" s="15">
        <v>1.6465555555555553</v>
      </c>
    </row>
    <row r="90" spans="1:4" x14ac:dyDescent="0.25">
      <c r="A90" s="8">
        <v>3</v>
      </c>
      <c r="B90" s="8">
        <v>2014</v>
      </c>
      <c r="C90" s="8" t="str">
        <f t="shared" si="1"/>
        <v>3-2014</v>
      </c>
      <c r="D90" s="15">
        <v>1.869340740740741</v>
      </c>
    </row>
    <row r="91" spans="1:4" x14ac:dyDescent="0.25">
      <c r="A91" s="8">
        <v>4</v>
      </c>
      <c r="B91" s="8">
        <v>2014</v>
      </c>
      <c r="C91" s="8" t="str">
        <f t="shared" si="1"/>
        <v>4-2014</v>
      </c>
      <c r="D91" s="15">
        <v>2.0921259259259264</v>
      </c>
    </row>
    <row r="92" spans="1:4" x14ac:dyDescent="0.25">
      <c r="A92" s="8">
        <v>5</v>
      </c>
      <c r="B92" s="8">
        <v>2014</v>
      </c>
      <c r="C92" s="8" t="str">
        <f t="shared" si="1"/>
        <v>5-2014</v>
      </c>
      <c r="D92" s="15">
        <v>2.3149111111111123</v>
      </c>
    </row>
    <row r="93" spans="1:4" x14ac:dyDescent="0.25">
      <c r="A93" s="8">
        <v>6</v>
      </c>
      <c r="B93" s="8">
        <v>2014</v>
      </c>
      <c r="C93" s="8" t="str">
        <f t="shared" si="1"/>
        <v>6-2014</v>
      </c>
      <c r="D93" s="15">
        <v>2.5376962962962977</v>
      </c>
    </row>
    <row r="94" spans="1:4" x14ac:dyDescent="0.25">
      <c r="A94" s="8">
        <v>7</v>
      </c>
      <c r="B94" s="8">
        <v>2014</v>
      </c>
      <c r="C94" s="8" t="str">
        <f t="shared" si="1"/>
        <v>7-2014</v>
      </c>
      <c r="D94" s="15">
        <v>2.7604814814814831</v>
      </c>
    </row>
    <row r="95" spans="1:4" x14ac:dyDescent="0.25">
      <c r="A95" s="8">
        <v>8</v>
      </c>
      <c r="B95" s="8">
        <v>2014</v>
      </c>
      <c r="C95" s="8" t="str">
        <f t="shared" si="1"/>
        <v>8-2014</v>
      </c>
      <c r="D95" s="15">
        <v>2.983266666666669</v>
      </c>
    </row>
    <row r="96" spans="1:4" x14ac:dyDescent="0.25">
      <c r="A96" s="8">
        <v>9</v>
      </c>
      <c r="B96" s="8">
        <v>2014</v>
      </c>
      <c r="C96" s="8" t="str">
        <f t="shared" si="1"/>
        <v>9-2014</v>
      </c>
      <c r="D96" s="15">
        <v>3.2060518518518548</v>
      </c>
    </row>
    <row r="97" spans="1:4" x14ac:dyDescent="0.25">
      <c r="A97" s="8">
        <v>10</v>
      </c>
      <c r="B97" s="8">
        <v>2014</v>
      </c>
      <c r="C97" s="8" t="str">
        <f t="shared" si="1"/>
        <v>10-2014</v>
      </c>
      <c r="D97" s="15">
        <v>3.4288370370370402</v>
      </c>
    </row>
    <row r="98" spans="1:4" x14ac:dyDescent="0.25">
      <c r="A98" s="8"/>
      <c r="B98" s="8">
        <v>2015</v>
      </c>
      <c r="C98" s="8" t="str">
        <f t="shared" si="1"/>
        <v>-2015</v>
      </c>
      <c r="D98" s="15">
        <v>0</v>
      </c>
    </row>
    <row r="99" spans="1:4" x14ac:dyDescent="0.25">
      <c r="A99" s="8">
        <v>0</v>
      </c>
      <c r="B99" s="8">
        <v>2015</v>
      </c>
      <c r="C99" s="8" t="str">
        <f t="shared" si="1"/>
        <v>0-2015</v>
      </c>
      <c r="D99" s="15">
        <v>0</v>
      </c>
    </row>
    <row r="100" spans="1:4" x14ac:dyDescent="0.25">
      <c r="A100" s="8">
        <v>1</v>
      </c>
      <c r="B100" s="8">
        <v>2015</v>
      </c>
      <c r="C100" s="8" t="str">
        <f t="shared" si="1"/>
        <v>1-2015</v>
      </c>
      <c r="D100" s="15">
        <v>1.5879111111111108</v>
      </c>
    </row>
    <row r="101" spans="1:4" x14ac:dyDescent="0.25">
      <c r="A101" s="8">
        <v>2</v>
      </c>
      <c r="B101" s="8">
        <v>2015</v>
      </c>
      <c r="C101" s="8" t="str">
        <f t="shared" si="1"/>
        <v>2-2015</v>
      </c>
      <c r="D101" s="15">
        <v>1.7367777777777775</v>
      </c>
    </row>
    <row r="102" spans="1:4" x14ac:dyDescent="0.25">
      <c r="A102" s="8">
        <v>3</v>
      </c>
      <c r="B102" s="8">
        <v>2015</v>
      </c>
      <c r="C102" s="8" t="str">
        <f t="shared" si="1"/>
        <v>3-2015</v>
      </c>
      <c r="D102" s="15">
        <v>1.9717703703703706</v>
      </c>
    </row>
    <row r="103" spans="1:4" x14ac:dyDescent="0.25">
      <c r="A103" s="8">
        <v>4</v>
      </c>
      <c r="B103" s="8">
        <v>2015</v>
      </c>
      <c r="C103" s="8" t="str">
        <f t="shared" si="1"/>
        <v>4-2015</v>
      </c>
      <c r="D103" s="15">
        <v>2.2067629629629635</v>
      </c>
    </row>
    <row r="104" spans="1:4" x14ac:dyDescent="0.25">
      <c r="A104" s="8">
        <v>5</v>
      </c>
      <c r="B104" s="8">
        <v>2015</v>
      </c>
      <c r="C104" s="8" t="str">
        <f t="shared" si="1"/>
        <v>5-2015</v>
      </c>
      <c r="D104" s="15">
        <v>2.4417555555555568</v>
      </c>
    </row>
    <row r="105" spans="1:4" x14ac:dyDescent="0.25">
      <c r="A105" s="8">
        <v>6</v>
      </c>
      <c r="B105" s="8">
        <v>2015</v>
      </c>
      <c r="C105" s="8" t="str">
        <f t="shared" si="1"/>
        <v>6-2015</v>
      </c>
      <c r="D105" s="15">
        <v>2.6767481481481497</v>
      </c>
    </row>
    <row r="106" spans="1:4" x14ac:dyDescent="0.25">
      <c r="A106" s="8">
        <v>7</v>
      </c>
      <c r="B106" s="8">
        <v>2015</v>
      </c>
      <c r="C106" s="8" t="str">
        <f t="shared" si="1"/>
        <v>7-2015</v>
      </c>
      <c r="D106" s="15">
        <v>2.9117407407407425</v>
      </c>
    </row>
    <row r="107" spans="1:4" x14ac:dyDescent="0.25">
      <c r="A107" s="8">
        <v>8</v>
      </c>
      <c r="B107" s="8">
        <v>2015</v>
      </c>
      <c r="C107" s="8" t="str">
        <f t="shared" si="1"/>
        <v>8-2015</v>
      </c>
      <c r="D107" s="15">
        <v>3.1467333333333358</v>
      </c>
    </row>
    <row r="108" spans="1:4" x14ac:dyDescent="0.25">
      <c r="A108" s="8">
        <v>9</v>
      </c>
      <c r="B108" s="8">
        <v>2015</v>
      </c>
      <c r="C108" s="8" t="str">
        <f t="shared" si="1"/>
        <v>9-2015</v>
      </c>
      <c r="D108" s="15">
        <v>3.3817259259259291</v>
      </c>
    </row>
    <row r="109" spans="1:4" x14ac:dyDescent="0.25">
      <c r="A109" s="8">
        <v>10</v>
      </c>
      <c r="B109" s="8">
        <v>2015</v>
      </c>
      <c r="C109" s="8" t="str">
        <f t="shared" si="1"/>
        <v>10-2015</v>
      </c>
      <c r="D109" s="15">
        <v>3.616718518518522</v>
      </c>
    </row>
    <row r="110" spans="1:4" x14ac:dyDescent="0.25">
      <c r="A110" s="8"/>
      <c r="B110" s="8">
        <v>2016</v>
      </c>
      <c r="C110" s="8" t="str">
        <f t="shared" si="1"/>
        <v>-2016</v>
      </c>
      <c r="D110" s="15">
        <v>0</v>
      </c>
    </row>
    <row r="111" spans="1:4" x14ac:dyDescent="0.25">
      <c r="A111" s="8">
        <v>0</v>
      </c>
      <c r="B111" s="8">
        <v>2016</v>
      </c>
      <c r="C111" s="8" t="str">
        <f t="shared" si="1"/>
        <v>0-2016</v>
      </c>
      <c r="D111" s="15">
        <v>0</v>
      </c>
    </row>
    <row r="112" spans="1:4" x14ac:dyDescent="0.25">
      <c r="A112" s="8">
        <v>1</v>
      </c>
      <c r="B112" s="8">
        <v>2016</v>
      </c>
      <c r="C112" s="8" t="str">
        <f t="shared" si="1"/>
        <v>1-2016</v>
      </c>
      <c r="D112" s="15">
        <v>1.6704000000000001</v>
      </c>
    </row>
    <row r="113" spans="1:4" x14ac:dyDescent="0.25">
      <c r="A113" s="8">
        <v>2</v>
      </c>
      <c r="B113" s="8">
        <v>2016</v>
      </c>
      <c r="C113" s="8" t="str">
        <f t="shared" si="1"/>
        <v>2-2016</v>
      </c>
      <c r="D113" s="15">
        <v>1.827</v>
      </c>
    </row>
    <row r="114" spans="1:4" x14ac:dyDescent="0.25">
      <c r="A114" s="8">
        <v>3</v>
      </c>
      <c r="B114" s="8">
        <v>2016</v>
      </c>
      <c r="C114" s="8" t="str">
        <f t="shared" si="1"/>
        <v>3-2016</v>
      </c>
      <c r="D114" s="15">
        <v>2.0742000000000003</v>
      </c>
    </row>
    <row r="115" spans="1:4" x14ac:dyDescent="0.25">
      <c r="A115" s="8">
        <v>4</v>
      </c>
      <c r="B115" s="8">
        <v>2016</v>
      </c>
      <c r="C115" s="8" t="str">
        <f t="shared" si="1"/>
        <v>4-2016</v>
      </c>
      <c r="D115" s="15">
        <v>2.3214000000000006</v>
      </c>
    </row>
    <row r="116" spans="1:4" x14ac:dyDescent="0.25">
      <c r="A116" s="8">
        <v>5</v>
      </c>
      <c r="B116" s="8">
        <v>2016</v>
      </c>
      <c r="C116" s="8" t="str">
        <f t="shared" si="1"/>
        <v>5-2016</v>
      </c>
      <c r="D116" s="15">
        <v>2.5686000000000009</v>
      </c>
    </row>
    <row r="117" spans="1:4" x14ac:dyDescent="0.25">
      <c r="A117" s="8">
        <v>6</v>
      </c>
      <c r="B117" s="8">
        <v>2016</v>
      </c>
      <c r="C117" s="8" t="str">
        <f t="shared" si="1"/>
        <v>6-2016</v>
      </c>
      <c r="D117" s="15">
        <v>2.8158000000000012</v>
      </c>
    </row>
    <row r="118" spans="1:4" x14ac:dyDescent="0.25">
      <c r="A118" s="8">
        <v>7</v>
      </c>
      <c r="B118" s="8">
        <v>2016</v>
      </c>
      <c r="C118" s="8" t="str">
        <f t="shared" si="1"/>
        <v>7-2016</v>
      </c>
      <c r="D118" s="15">
        <v>3.0630000000000015</v>
      </c>
    </row>
    <row r="119" spans="1:4" x14ac:dyDescent="0.25">
      <c r="A119" s="8">
        <v>8</v>
      </c>
      <c r="B119" s="8">
        <v>2016</v>
      </c>
      <c r="C119" s="8" t="str">
        <f t="shared" si="1"/>
        <v>8-2016</v>
      </c>
      <c r="D119" s="15">
        <v>3.3102000000000018</v>
      </c>
    </row>
    <row r="120" spans="1:4" x14ac:dyDescent="0.25">
      <c r="A120" s="8">
        <v>9</v>
      </c>
      <c r="B120" s="8">
        <v>2016</v>
      </c>
      <c r="C120" s="8" t="str">
        <f t="shared" si="1"/>
        <v>9-2016</v>
      </c>
      <c r="D120" s="15">
        <v>3.5574000000000021</v>
      </c>
    </row>
    <row r="121" spans="1:4" x14ac:dyDescent="0.25">
      <c r="A121" s="8">
        <v>10</v>
      </c>
      <c r="B121" s="8">
        <v>2016</v>
      </c>
      <c r="C121" s="8" t="str">
        <f t="shared" si="1"/>
        <v>10-2016</v>
      </c>
      <c r="D121" s="15">
        <v>3.8046000000000024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1" sqref="B21"/>
    </sheetView>
  </sheetViews>
  <sheetFormatPr defaultRowHeight="15" x14ac:dyDescent="0.25"/>
  <cols>
    <col min="1" max="1" width="11.140625" bestFit="1" customWidth="1"/>
    <col min="2" max="3" width="9.42578125" bestFit="1" customWidth="1"/>
  </cols>
  <sheetData>
    <row r="1" spans="1:3" x14ac:dyDescent="0.25">
      <c r="A1" s="5" t="s">
        <v>5</v>
      </c>
      <c r="B1" s="5" t="s">
        <v>6</v>
      </c>
      <c r="C1" s="5" t="s">
        <v>7</v>
      </c>
    </row>
    <row r="2" spans="1:3" x14ac:dyDescent="0.25">
      <c r="A2" s="3">
        <v>2006</v>
      </c>
      <c r="B2" s="4">
        <v>0.14130000000000001</v>
      </c>
      <c r="C2" s="4">
        <f>B2/12</f>
        <v>1.1775000000000001E-2</v>
      </c>
    </row>
    <row r="3" spans="1:3" x14ac:dyDescent="0.25">
      <c r="A3" s="3">
        <v>2007</v>
      </c>
      <c r="B3" s="4">
        <v>0.11250000000000002</v>
      </c>
      <c r="C3" s="4">
        <f t="shared" ref="C3:C13" si="0">B3/12</f>
        <v>9.3750000000000014E-3</v>
      </c>
    </row>
    <row r="4" spans="1:3" x14ac:dyDescent="0.25">
      <c r="A4" s="3">
        <v>2008</v>
      </c>
      <c r="B4" s="4">
        <v>0.1182</v>
      </c>
      <c r="C4" s="4">
        <f t="shared" si="0"/>
        <v>9.8499999999999994E-3</v>
      </c>
    </row>
    <row r="5" spans="1:3" x14ac:dyDescent="0.25">
      <c r="A5" s="3">
        <v>2009</v>
      </c>
      <c r="B5" s="4">
        <v>9.5000000000000001E-2</v>
      </c>
      <c r="C5" s="4">
        <f t="shared" si="0"/>
        <v>7.9166666666666673E-3</v>
      </c>
    </row>
    <row r="6" spans="1:3" x14ac:dyDescent="0.25">
      <c r="A6" s="3">
        <v>2010</v>
      </c>
      <c r="B6" s="4">
        <v>9.3699999999999992E-2</v>
      </c>
      <c r="C6" s="4">
        <f t="shared" si="0"/>
        <v>7.8083333333333329E-3</v>
      </c>
    </row>
    <row r="7" spans="1:3" x14ac:dyDescent="0.25">
      <c r="A7" s="3">
        <v>2011</v>
      </c>
      <c r="B7" s="4">
        <v>0.1104</v>
      </c>
      <c r="C7" s="4">
        <f t="shared" si="0"/>
        <v>9.1999999999999998E-3</v>
      </c>
    </row>
    <row r="8" spans="1:3" x14ac:dyDescent="0.25">
      <c r="A8" s="3">
        <v>2012</v>
      </c>
      <c r="B8" s="4">
        <v>8.1700000000000009E-2</v>
      </c>
      <c r="C8" s="4">
        <f t="shared" si="0"/>
        <v>6.8083333333333338E-3</v>
      </c>
    </row>
    <row r="9" spans="1:3" x14ac:dyDescent="0.25">
      <c r="A9" s="3">
        <v>2013</v>
      </c>
      <c r="B9" s="4">
        <v>7.9200000000000007E-2</v>
      </c>
      <c r="C9" s="4">
        <f t="shared" si="0"/>
        <v>6.6000000000000008E-3</v>
      </c>
    </row>
    <row r="10" spans="1:3" x14ac:dyDescent="0.25">
      <c r="A10" s="3">
        <v>2014</v>
      </c>
      <c r="B10" s="4">
        <v>0.104</v>
      </c>
      <c r="C10" s="4">
        <f t="shared" si="0"/>
        <v>8.6666666666666663E-3</v>
      </c>
    </row>
    <row r="11" spans="1:3" x14ac:dyDescent="0.25">
      <c r="A11" s="3">
        <v>2015</v>
      </c>
      <c r="B11" s="4">
        <v>0.12540000000000001</v>
      </c>
      <c r="C11" s="4">
        <f t="shared" si="0"/>
        <v>1.0450000000000001E-2</v>
      </c>
    </row>
    <row r="12" spans="1:3" x14ac:dyDescent="0.25">
      <c r="A12" s="3">
        <v>2016</v>
      </c>
      <c r="B12" s="4">
        <v>0.13199999999999998</v>
      </c>
      <c r="C12" s="4">
        <f t="shared" si="0"/>
        <v>1.0999999999999998E-2</v>
      </c>
    </row>
    <row r="13" spans="1:3" x14ac:dyDescent="0.25">
      <c r="A13" s="3">
        <v>2017</v>
      </c>
      <c r="B13" s="4">
        <v>9.2499999999999999E-2</v>
      </c>
      <c r="C13" s="4">
        <f t="shared" si="0"/>
        <v>7.7083333333333335E-3</v>
      </c>
    </row>
    <row r="14" spans="1:3" x14ac:dyDescent="0.25">
      <c r="A14" s="3">
        <v>2018</v>
      </c>
      <c r="B14" s="4">
        <v>8.2500000000000004E-2</v>
      </c>
      <c r="C14" s="4">
        <f t="shared" ref="C14" si="1">B14/12</f>
        <v>6.875E-3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Apresentação</vt:lpstr>
      <vt:lpstr>SIMULADOR</vt:lpstr>
      <vt:lpstr>Base</vt:lpstr>
      <vt:lpstr>Plan1</vt:lpstr>
      <vt:lpstr>SIARMA</vt:lpstr>
      <vt:lpstr>Taxa de Juros (Ano)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2017-03-23T18:30:37Z</dcterms:created>
  <dcterms:modified xsi:type="dcterms:W3CDTF">2018-01-29T10:59:31Z</dcterms:modified>
</cp:coreProperties>
</file>